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wayne_z8780x5\Documents\Engineering Models final\"/>
    </mc:Choice>
  </mc:AlternateContent>
  <xr:revisionPtr revIDLastSave="0" documentId="13_ncr:1_{86AE32B1-5FA6-4E10-AA60-85F4DC1FA71F}" xr6:coauthVersionLast="47" xr6:coauthVersionMax="47" xr10:uidLastSave="{00000000-0000-0000-0000-000000000000}"/>
  <bookViews>
    <workbookView xWindow="135" yWindow="135" windowWidth="20355" windowHeight="10665" firstSheet="1" activeTab="1" xr2:uid="{E3C3E132-8992-4BF9-B542-05DA1B2FE4F1}"/>
  </bookViews>
  <sheets>
    <sheet name="Calculator" sheetId="1" r:id="rId1"/>
    <sheet name="Discussion" sheetId="4" r:id="rId2"/>
    <sheet name="Properties" sheetId="2" r:id="rId3"/>
    <sheet name="Compositions" sheetId="3" r:id="rId4"/>
    <sheet name="Pipe Schedule" sheetId="7" r:id="rId5"/>
    <sheet name="Imperial units" sheetId="6" state="hidden" r:id="rId6"/>
  </sheets>
  <externalReferences>
    <externalReference r:id="rId7"/>
  </externalReferences>
  <definedNames>
    <definedName name="mL">'[1]Flash A'!$F$25</definedName>
    <definedName name="_xlnm.Print_Area" localSheetId="3">Compositions!$B$3:$J$27</definedName>
    <definedName name="solver_adj" localSheetId="2" hidden="1">Properties!$AA$1</definedName>
    <definedName name="solver_cvg" localSheetId="2" hidden="1">0.0001</definedName>
    <definedName name="solver_drv" localSheetId="2" hidden="1">1</definedName>
    <definedName name="solver_eng" localSheetId="2" hidden="1">1</definedName>
    <definedName name="solver_est" localSheetId="2" hidden="1">1</definedName>
    <definedName name="solver_itr" localSheetId="2" hidden="1">2147483647</definedName>
    <definedName name="solver_lhs1" localSheetId="2" hidden="1">Properties!$AA$1</definedName>
    <definedName name="solver_lhs2" localSheetId="2" hidden="1">Properties!$AA$1</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1</definedName>
    <definedName name="solver_nod" localSheetId="2" hidden="1">2147483647</definedName>
    <definedName name="solver_num" localSheetId="2" hidden="1">2</definedName>
    <definedName name="solver_nwt" localSheetId="2" hidden="1">1</definedName>
    <definedName name="solver_opt" localSheetId="2" hidden="1">Properties!$Z$24</definedName>
    <definedName name="solver_pre" localSheetId="2" hidden="1">0.000001</definedName>
    <definedName name="solver_rbv" localSheetId="2" hidden="1">1</definedName>
    <definedName name="solver_rel1" localSheetId="2" hidden="1">1</definedName>
    <definedName name="solver_rel2" localSheetId="2" hidden="1">3</definedName>
    <definedName name="solver_rhs1" localSheetId="2" hidden="1">0.99999</definedName>
    <definedName name="solver_rhs2" localSheetId="2" hidden="1">0.00001</definedName>
    <definedName name="solver_rlx" localSheetId="2" hidden="1">2</definedName>
    <definedName name="solver_rsd" localSheetId="2" hidden="1">0</definedName>
    <definedName name="solver_scl" localSheetId="2" hidden="1">1</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2" hidden="1">3</definedName>
    <definedName name="solver_val" localSheetId="2" hidden="1">0.001</definedName>
    <definedName name="solver_ver" localSheetId="2"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C104" i="1" s="1"/>
  <c r="E7" i="1"/>
  <c r="E17" i="1" s="1"/>
  <c r="E15" i="1"/>
  <c r="E34" i="2"/>
  <c r="E33" i="2"/>
  <c r="E32" i="2"/>
  <c r="D19" i="6"/>
  <c r="G93" i="1"/>
  <c r="G94" i="1"/>
  <c r="G95" i="1"/>
  <c r="G92" i="1"/>
  <c r="G91" i="1"/>
  <c r="P12" i="2"/>
  <c r="P16" i="2"/>
  <c r="O9" i="2"/>
  <c r="P9" i="2" s="1"/>
  <c r="O10" i="2"/>
  <c r="P10" i="2" s="1"/>
  <c r="O11" i="2"/>
  <c r="P11" i="2" s="1"/>
  <c r="O12" i="2"/>
  <c r="O13" i="2"/>
  <c r="P13" i="2" s="1"/>
  <c r="O14" i="2"/>
  <c r="P14" i="2" s="1"/>
  <c r="O15" i="2"/>
  <c r="P15" i="2" s="1"/>
  <c r="O16" i="2"/>
  <c r="O17" i="2"/>
  <c r="P17" i="2" s="1"/>
  <c r="O18" i="2"/>
  <c r="P18" i="2" s="1"/>
  <c r="O19" i="2"/>
  <c r="P19" i="2" s="1"/>
  <c r="O20" i="2"/>
  <c r="P20" i="2" s="1"/>
  <c r="O21" i="2"/>
  <c r="P21" i="2" s="1"/>
  <c r="O22" i="2"/>
  <c r="P22" i="2" s="1"/>
  <c r="O23" i="2"/>
  <c r="P23" i="2" s="1"/>
  <c r="O8" i="2"/>
  <c r="P8" i="2" s="1"/>
  <c r="J24" i="6"/>
  <c r="J25" i="6"/>
  <c r="D17" i="6"/>
  <c r="D28" i="6" s="1"/>
  <c r="D13" i="6"/>
  <c r="D14" i="6" s="1"/>
  <c r="D35" i="6"/>
  <c r="D16" i="6"/>
  <c r="D11" i="6"/>
  <c r="D35" i="2"/>
  <c r="C9" i="2"/>
  <c r="C10" i="2"/>
  <c r="C11" i="2"/>
  <c r="C12" i="2"/>
  <c r="C13" i="2"/>
  <c r="C14" i="2"/>
  <c r="C15" i="2"/>
  <c r="C16" i="2"/>
  <c r="C17" i="2"/>
  <c r="C18" i="2"/>
  <c r="C19" i="2"/>
  <c r="I28" i="3"/>
  <c r="H28" i="3"/>
  <c r="G28" i="3"/>
  <c r="F28" i="3"/>
  <c r="V27" i="3"/>
  <c r="U27" i="3"/>
  <c r="T27" i="3"/>
  <c r="S27" i="3"/>
  <c r="R27" i="3"/>
  <c r="Q27" i="3"/>
  <c r="P27" i="3"/>
  <c r="O27" i="3"/>
  <c r="N27" i="3"/>
  <c r="M27" i="3"/>
  <c r="L27" i="3"/>
  <c r="K27" i="3"/>
  <c r="V22" i="3"/>
  <c r="U22" i="3"/>
  <c r="T22" i="3"/>
  <c r="S22" i="3"/>
  <c r="R22" i="3"/>
  <c r="Q22" i="3"/>
  <c r="P22" i="3"/>
  <c r="O22" i="3"/>
  <c r="N22" i="3"/>
  <c r="M22" i="3"/>
  <c r="L22" i="3"/>
  <c r="K22" i="3"/>
  <c r="E22" i="3"/>
  <c r="D22" i="3"/>
  <c r="C22" i="3"/>
  <c r="M20" i="2"/>
  <c r="N20" i="2" s="1"/>
  <c r="U20" i="2" s="1"/>
  <c r="X20" i="2"/>
  <c r="M21" i="2"/>
  <c r="N21" i="2" s="1"/>
  <c r="U21" i="2" s="1"/>
  <c r="X21" i="2"/>
  <c r="M22" i="2"/>
  <c r="N22" i="2" s="1"/>
  <c r="U22" i="2" s="1"/>
  <c r="X22" i="2"/>
  <c r="N23" i="2"/>
  <c r="X23" i="2"/>
  <c r="M19" i="2"/>
  <c r="N19" i="2" s="1"/>
  <c r="M18" i="2"/>
  <c r="N18" i="2" s="1"/>
  <c r="M17" i="2"/>
  <c r="N17" i="2" s="1"/>
  <c r="M16" i="2"/>
  <c r="N16" i="2" s="1"/>
  <c r="M15" i="2"/>
  <c r="N15" i="2" s="1"/>
  <c r="M14" i="2"/>
  <c r="N14" i="2" s="1"/>
  <c r="M13" i="2"/>
  <c r="N13" i="2" s="1"/>
  <c r="M12" i="2"/>
  <c r="N12" i="2" s="1"/>
  <c r="M11" i="2"/>
  <c r="M10" i="2"/>
  <c r="N10" i="2" s="1"/>
  <c r="M9" i="2"/>
  <c r="M8" i="2"/>
  <c r="N8" i="2" s="1"/>
  <c r="D20" i="6" l="1"/>
  <c r="J29" i="6" s="1"/>
  <c r="C114" i="1"/>
  <c r="C109" i="1"/>
  <c r="H91" i="1"/>
  <c r="H92" i="1"/>
  <c r="H95" i="1"/>
  <c r="H94" i="1"/>
  <c r="H93" i="1"/>
  <c r="E35" i="2"/>
  <c r="D26" i="6"/>
  <c r="D27" i="6" s="1"/>
  <c r="D39" i="6" s="1"/>
  <c r="I87" i="1"/>
  <c r="U13" i="2"/>
  <c r="U17" i="2"/>
  <c r="T24" i="2"/>
  <c r="J24" i="2"/>
  <c r="F24" i="2"/>
  <c r="R24" i="2"/>
  <c r="S24" i="2"/>
  <c r="I24" i="2"/>
  <c r="M24" i="2"/>
  <c r="L24" i="2" s="1"/>
  <c r="E24" i="2"/>
  <c r="O24" i="2" s="1"/>
  <c r="P24" i="2" s="1"/>
  <c r="H24" i="2"/>
  <c r="Q24" i="2"/>
  <c r="K24" i="2"/>
  <c r="G24" i="2"/>
  <c r="X10" i="2"/>
  <c r="X8" i="2"/>
  <c r="U15" i="2"/>
  <c r="N9" i="2"/>
  <c r="U12" i="2"/>
  <c r="U16" i="2"/>
  <c r="U14" i="2"/>
  <c r="U18" i="2"/>
  <c r="N11" i="2"/>
  <c r="U19" i="2"/>
  <c r="X11" i="2"/>
  <c r="X12" i="2"/>
  <c r="X13" i="2"/>
  <c r="X14" i="2"/>
  <c r="X15" i="2"/>
  <c r="X16" i="2"/>
  <c r="X17" i="2"/>
  <c r="X18" i="2"/>
  <c r="X19" i="2"/>
  <c r="X9" i="2"/>
  <c r="J27" i="6" l="1"/>
  <c r="J28" i="6" s="1"/>
  <c r="J26" i="6"/>
  <c r="J88" i="1"/>
  <c r="J87" i="1"/>
  <c r="D41" i="6"/>
  <c r="D40" i="6"/>
  <c r="D30" i="6"/>
  <c r="D37" i="6" s="1"/>
  <c r="D46" i="6" s="1"/>
  <c r="E16" i="1"/>
  <c r="D23" i="6"/>
  <c r="E14" i="1"/>
  <c r="E18" i="1" s="1"/>
  <c r="N24" i="2"/>
  <c r="E19" i="1" l="1"/>
  <c r="E21" i="1"/>
  <c r="E22" i="1"/>
  <c r="E23" i="1"/>
  <c r="D47" i="6"/>
  <c r="D48" i="6"/>
  <c r="H85" i="1"/>
  <c r="I85" i="1" s="1"/>
  <c r="H45" i="6"/>
  <c r="D38" i="6"/>
  <c r="D45" i="6" s="1"/>
  <c r="F45" i="6" s="1"/>
  <c r="G45" i="6" s="1"/>
  <c r="C24" i="2"/>
  <c r="U24" i="2"/>
  <c r="H86" i="1" l="1"/>
  <c r="H87" i="1" s="1"/>
  <c r="H88" i="1" s="1"/>
  <c r="I45" i="6"/>
  <c r="I88" i="1" l="1"/>
  <c r="H98" i="1"/>
  <c r="H99" i="1" s="1"/>
  <c r="I86" i="1"/>
  <c r="E20" i="1" l="1"/>
</calcChain>
</file>

<file path=xl/sharedStrings.xml><?xml version="1.0" encoding="utf-8"?>
<sst xmlns="http://schemas.openxmlformats.org/spreadsheetml/2006/main" count="383" uniqueCount="284">
  <si>
    <t xml:space="preserve"> </t>
  </si>
  <si>
    <t>v (velocity, ft/sec)</t>
  </si>
  <si>
    <t>Darcy-Weisbach Equation</t>
  </si>
  <si>
    <t>The pressure drop (ΔP) in a gas pipeline can be calculated using the formula:</t>
  </si>
  <si>
    <t>Where:</t>
  </si>
  <si>
    <t>Re = Reynolds Number (non-dimensional)</t>
  </si>
  <si>
    <t>1 cP = 0.0006719689 lb/(ft·s)</t>
  </si>
  <si>
    <t>cp</t>
  </si>
  <si>
    <t>lb/(ft-s)</t>
  </si>
  <si>
    <t>natural gas at 100 psi</t>
  </si>
  <si>
    <t>natural gas at 500 psi</t>
  </si>
  <si>
    <t>natural gas at 1000 psi</t>
  </si>
  <si>
    <t>Ave</t>
  </si>
  <si>
    <t>Standing F</t>
  </si>
  <si>
    <t>Comp</t>
  </si>
  <si>
    <t>Boiling Pt</t>
  </si>
  <si>
    <t>Vap Pres</t>
  </si>
  <si>
    <t>Freezing Pt</t>
  </si>
  <si>
    <t>Crit. Pres</t>
  </si>
  <si>
    <t>Crit. Temp</t>
  </si>
  <si>
    <t xml:space="preserve">         Density of Liquid</t>
  </si>
  <si>
    <t>Density in Vapor</t>
  </si>
  <si>
    <t>Cp ,Gas</t>
  </si>
  <si>
    <t>Cp. Liquid</t>
  </si>
  <si>
    <t>HV, gas</t>
  </si>
  <si>
    <t>HV, liq</t>
  </si>
  <si>
    <t>GPM</t>
  </si>
  <si>
    <t>mol%</t>
  </si>
  <si>
    <t>Formula</t>
  </si>
  <si>
    <t>MW</t>
  </si>
  <si>
    <t>F@1atm</t>
  </si>
  <si>
    <t>psia@100F</t>
  </si>
  <si>
    <t xml:space="preserve">F </t>
  </si>
  <si>
    <t>psia</t>
  </si>
  <si>
    <t>F</t>
  </si>
  <si>
    <t>Z</t>
  </si>
  <si>
    <t>Spec Grav</t>
  </si>
  <si>
    <t>lb/gal</t>
  </si>
  <si>
    <t>gal/lbmol</t>
  </si>
  <si>
    <t>ft3/lb</t>
  </si>
  <si>
    <t>Btu/lb-F</t>
  </si>
  <si>
    <t>Btu/ft3</t>
  </si>
  <si>
    <t>Btu/lb</t>
  </si>
  <si>
    <t>gals/Mcf</t>
  </si>
  <si>
    <r>
      <t>b (</t>
    </r>
    <r>
      <rPr>
        <vertAlign val="superscript"/>
        <sz val="10"/>
        <rFont val="Arial"/>
        <family val="2"/>
      </rPr>
      <t>o</t>
    </r>
    <r>
      <rPr>
        <sz val="11"/>
        <color theme="1"/>
        <rFont val="Aptos Narrow"/>
        <family val="2"/>
        <scheme val="minor"/>
      </rPr>
      <t>R)</t>
    </r>
  </si>
  <si>
    <r>
      <t>T</t>
    </r>
    <r>
      <rPr>
        <vertAlign val="subscript"/>
        <sz val="10"/>
        <rFont val="Arial"/>
        <family val="2"/>
      </rPr>
      <t>B</t>
    </r>
    <r>
      <rPr>
        <sz val="11"/>
        <color theme="1"/>
        <rFont val="Aptos Narrow"/>
        <family val="2"/>
        <scheme val="minor"/>
      </rPr>
      <t xml:space="preserve"> (</t>
    </r>
    <r>
      <rPr>
        <vertAlign val="superscript"/>
        <sz val="10"/>
        <rFont val="Arial"/>
        <family val="2"/>
      </rPr>
      <t>o</t>
    </r>
    <r>
      <rPr>
        <sz val="11"/>
        <color theme="1"/>
        <rFont val="Aptos Narrow"/>
        <family val="2"/>
        <scheme val="minor"/>
      </rPr>
      <t>R)</t>
    </r>
  </si>
  <si>
    <t>Nitrogen</t>
  </si>
  <si>
    <t>N2</t>
  </si>
  <si>
    <t>Carbon Dioxide</t>
  </si>
  <si>
    <t>CO2</t>
  </si>
  <si>
    <t>Hydrogen Sulfide</t>
  </si>
  <si>
    <t>H2S</t>
  </si>
  <si>
    <t>Methane</t>
  </si>
  <si>
    <t>CH4</t>
  </si>
  <si>
    <t>Ethane</t>
  </si>
  <si>
    <t>C2H6</t>
  </si>
  <si>
    <t>Propane</t>
  </si>
  <si>
    <t>C3H8</t>
  </si>
  <si>
    <t>isoButane</t>
  </si>
  <si>
    <t>C4H10</t>
  </si>
  <si>
    <t>nButane</t>
  </si>
  <si>
    <t>isoPentane</t>
  </si>
  <si>
    <t>C5H12</t>
  </si>
  <si>
    <t>nPentane</t>
  </si>
  <si>
    <t>C6+</t>
  </si>
  <si>
    <t>C6H14</t>
  </si>
  <si>
    <t>Benzene</t>
  </si>
  <si>
    <t>Toluene</t>
  </si>
  <si>
    <t>C7H8</t>
  </si>
  <si>
    <t>Ethylbenzene</t>
  </si>
  <si>
    <t>Xylene</t>
  </si>
  <si>
    <t>C8H10</t>
  </si>
  <si>
    <t>Water</t>
  </si>
  <si>
    <t>H20</t>
  </si>
  <si>
    <t>Ave Stream</t>
  </si>
  <si>
    <t>C7+</t>
  </si>
  <si>
    <t>C6</t>
  </si>
  <si>
    <t>Various Gas Compositions from Wellhead Separators</t>
  </si>
  <si>
    <t>Delaware Basin</t>
  </si>
  <si>
    <t>EagleFord</t>
  </si>
  <si>
    <t>Typical from Various Other Fields</t>
  </si>
  <si>
    <t>Case ====&gt;</t>
  </si>
  <si>
    <t>Component</t>
  </si>
  <si>
    <t>Btu/cf</t>
  </si>
  <si>
    <t>C6-C9 calc</t>
  </si>
  <si>
    <t>C5+, mol%</t>
  </si>
  <si>
    <t>CHDP, F</t>
  </si>
  <si>
    <t>Contact:  waynelandon13@gmail.com</t>
  </si>
  <si>
    <r>
      <t>R</t>
    </r>
    <r>
      <rPr>
        <sz val="8"/>
        <color theme="1"/>
        <rFont val="Aptos Narrow"/>
        <family val="2"/>
        <scheme val="minor"/>
      </rPr>
      <t>e</t>
    </r>
    <r>
      <rPr>
        <sz val="11"/>
        <color theme="1"/>
        <rFont val="Aptos Narrow"/>
        <family val="2"/>
        <scheme val="minor"/>
      </rPr>
      <t>, Reynolds Number</t>
    </r>
  </si>
  <si>
    <t>L (length of pipe, ft)</t>
  </si>
  <si>
    <t>Properties of various components of natural gas</t>
  </si>
  <si>
    <t>results</t>
  </si>
  <si>
    <t>inputs</t>
  </si>
  <si>
    <t>f = 64/Re</t>
  </si>
  <si>
    <t>Input</t>
  </si>
  <si>
    <t>Or use data from Compositions tab</t>
  </si>
  <si>
    <t>from GPSA Handbook</t>
  </si>
  <si>
    <t>Stream (1)</t>
  </si>
  <si>
    <t>(1) weighted average</t>
  </si>
  <si>
    <t>The Properties tab provides an estimate for the gas density based on the composition of the gas</t>
  </si>
  <si>
    <t>If needed, the Composition tab provides compositions for a variety of natural gas streams</t>
  </si>
  <si>
    <t xml:space="preserve">Since most field gas pipelines are not single phase, the gas flow will need to be sufficient to move the liquid phase (or slugs). </t>
  </si>
  <si>
    <t>Gas  velocities around 100 ft/sec are a good starting point for providing sufficient velocities to move the liquid or slugs.</t>
  </si>
  <si>
    <t>ρ (vapor density, lb/ft3)</t>
  </si>
  <si>
    <t>for smooth pipe</t>
  </si>
  <si>
    <t>for turbulent flow</t>
  </si>
  <si>
    <t>Weymouth Correlation</t>
  </si>
  <si>
    <t>Nomenclature</t>
  </si>
  <si>
    <t>ΔP, psi (Darcy-Weisbach)</t>
  </si>
  <si>
    <t>ΔP, psi (Weymouth)</t>
  </si>
  <si>
    <t>Estimate Friction Factor via equation or Chart</t>
  </si>
  <si>
    <t>laminar flow (Re&lt;2100)</t>
  </si>
  <si>
    <t>Panhandle A Equation</t>
  </si>
  <si>
    <t>smooth pipe turbulent flow</t>
  </si>
  <si>
    <t>Re</t>
  </si>
  <si>
    <t>f</t>
  </si>
  <si>
    <t>completely turbulent flow</t>
  </si>
  <si>
    <t>e for plastic pipe</t>
  </si>
  <si>
    <t>e for steel pipe</t>
  </si>
  <si>
    <t>e for galvinized pipe</t>
  </si>
  <si>
    <t>e for cast iron pipe</t>
  </si>
  <si>
    <t>e for concrete pipe</t>
  </si>
  <si>
    <t>Transition Region</t>
  </si>
  <si>
    <t>Panhandle B Equation</t>
  </si>
  <si>
    <r>
      <t>D</t>
    </r>
    <r>
      <rPr>
        <sz val="8"/>
        <color theme="1"/>
        <rFont val="Aptos Narrow"/>
        <family val="2"/>
        <scheme val="minor"/>
      </rPr>
      <t xml:space="preserve"> </t>
    </r>
    <r>
      <rPr>
        <sz val="11"/>
        <color theme="1"/>
        <rFont val="Aptos Narrow"/>
        <family val="2"/>
        <scheme val="minor"/>
      </rPr>
      <t>(pipeline inside diameter, ft)</t>
    </r>
  </si>
  <si>
    <t>ΔP, psi (Panhandle A)</t>
  </si>
  <si>
    <t>ΔP, psi (Panhandle B)</t>
  </si>
  <si>
    <r>
      <t xml:space="preserve">ΔP/P  (%) </t>
    </r>
    <r>
      <rPr>
        <vertAlign val="superscript"/>
        <sz val="11"/>
        <color theme="1"/>
        <rFont val="Aptos Narrow"/>
        <family val="2"/>
        <scheme val="minor"/>
      </rPr>
      <t>*1</t>
    </r>
  </si>
  <si>
    <t>Reynolds Number</t>
  </si>
  <si>
    <t>Dynamic viscosity</t>
  </si>
  <si>
    <t>Estimating Pressure Drop in Gas Pipelines</t>
  </si>
  <si>
    <t>Estimating Pressure Drop in Gas Pipelines using Darcy-Weisbach, Weymouth, Panhandle A and Panhandle B Correlations</t>
  </si>
  <si>
    <t>This worksheet uses various correlations to estimate the pressure drop in a natural gas pipeline.</t>
  </si>
  <si>
    <t>Very high velocities can cause erosion in the pipe.  These are rules of thumbs and only provided as help in estimating pressure drop.</t>
  </si>
  <si>
    <t>The Weymouth, Panhandle A and Panhadle B correlations were derived similarly from experimental data - and thus have the same form.</t>
  </si>
  <si>
    <t>E, Pipeline Efficiency factor (.92 for wet gas, 0.98 for dry gas)</t>
  </si>
  <si>
    <t>Z,  Compressibility factor</t>
  </si>
  <si>
    <t>Friction Factor</t>
  </si>
  <si>
    <t>e/D (steel)</t>
  </si>
  <si>
    <t xml:space="preserve">  </t>
  </si>
  <si>
    <t>Darcy-Weisbach correlation requires estimating the friction factor, either from equations or charts</t>
  </si>
  <si>
    <r>
      <t xml:space="preserve"> *2</t>
    </r>
    <r>
      <rPr>
        <sz val="11"/>
        <color theme="1"/>
        <rFont val="Aptos Narrow"/>
        <family val="2"/>
        <scheme val="minor"/>
      </rPr>
      <t xml:space="preserve"> Moody Chart below can also be used to estimate fricion factor</t>
    </r>
  </si>
  <si>
    <t>DO NOT USE THIS METHOD FOR DETAIL DESIGN – ALWAYS CONSULT A REPUTABLE SUPPLIER FOR DETAIL DESIGN</t>
  </si>
  <si>
    <t>THIS TOOL IS GIVEN ONLY TO ILLUSTRATE THE EXAMPLE DONE IN THE WEBSITE. USING IT FOR ANY OTHER PURPOSE IS AT OWN RISK OF USER</t>
  </si>
  <si>
    <t>Gas expander available energy calculation</t>
  </si>
  <si>
    <t>To modify</t>
  </si>
  <si>
    <t>Calculated</t>
  </si>
  <si>
    <t>This calculation sheet is allowing to estimate the amount of energy that a gas turbo expander could recover as well as the outlet temperature</t>
  </si>
  <si>
    <t>Data input</t>
  </si>
  <si>
    <t>Gas conveyed</t>
  </si>
  <si>
    <t>Natural Gas</t>
  </si>
  <si>
    <t>Molecular weight of the gas</t>
  </si>
  <si>
    <t>g/mol</t>
  </si>
  <si>
    <t>Spefici gravity of gas vs air</t>
  </si>
  <si>
    <t>Gas viscosity</t>
  </si>
  <si>
    <t>Inlet temperature</t>
  </si>
  <si>
    <t>T1</t>
  </si>
  <si>
    <t>R</t>
  </si>
  <si>
    <t>Outlet temperature</t>
  </si>
  <si>
    <t>T2</t>
  </si>
  <si>
    <t>Inlet pressure</t>
  </si>
  <si>
    <t>P1’</t>
  </si>
  <si>
    <t>Psi abs</t>
  </si>
  <si>
    <t>Outlet pressure</t>
  </si>
  <si>
    <t>P2</t>
  </si>
  <si>
    <t>Total pipe length</t>
  </si>
  <si>
    <t>Lm</t>
  </si>
  <si>
    <t>miles</t>
  </si>
  <si>
    <t>Pipe internal diameter</t>
  </si>
  <si>
    <t>d</t>
  </si>
  <si>
    <t>in</t>
  </si>
  <si>
    <t>Pipe roughness</t>
  </si>
  <si>
    <t>epsilon</t>
  </si>
  <si>
    <t>mm</t>
  </si>
  <si>
    <t>Pipe elevation</t>
  </si>
  <si>
    <t>DZ</t>
  </si>
  <si>
    <t>ft</t>
  </si>
  <si>
    <t>Friction factor (Darcy)</t>
  </si>
  <si>
    <t>Please use abacus to determine the friction factor</t>
  </si>
  <si>
    <t>You can also consider the following values</t>
  </si>
  <si>
    <t>Efficiency factor</t>
  </si>
  <si>
    <t>E</t>
  </si>
  <si>
    <t>Roughness</t>
  </si>
  <si>
    <t>Average temperature</t>
  </si>
  <si>
    <t>Tavg</t>
  </si>
  <si>
    <t>d/epsilon</t>
  </si>
  <si>
    <t>Average pressure</t>
  </si>
  <si>
    <t>Pavg</t>
  </si>
  <si>
    <t>Friction factor (Nikuradze)</t>
  </si>
  <si>
    <t>Compressibility factor</t>
  </si>
  <si>
    <t>Zf,avg</t>
  </si>
  <si>
    <t>Please calculate Zf,avg separately</t>
  </si>
  <si>
    <t>Friction factor Weymouth</t>
  </si>
  <si>
    <t>Potential energy term</t>
  </si>
  <si>
    <t>phi</t>
  </si>
  <si>
    <t>Absolute temperature at standard conditions</t>
  </si>
  <si>
    <t>Tb</t>
  </si>
  <si>
    <t>Absolute pressure at standard conditions</t>
  </si>
  <si>
    <t>Pb’</t>
  </si>
  <si>
    <t>Tb/P’b</t>
  </si>
  <si>
    <t>(P1’)2-(P2’)2 – phi</t>
  </si>
  <si>
    <t>f.Lm.Tavg.Zfavg.Sg</t>
  </si>
  <si>
    <t>Lm.Tavg.Zfavg.Sg</t>
  </si>
  <si>
    <t>Lm.Tavg.Zfavg.Sg^0.8539</t>
  </si>
  <si>
    <t>Lm.Tavg.Zfavg.Sg^0.931</t>
  </si>
  <si>
    <t>Calculation flow of compressible fluid in the pipeline</t>
  </si>
  <si>
    <t>f calculated</t>
  </si>
  <si>
    <t>f assumed</t>
  </si>
  <si>
    <t>Relative Difference</t>
  </si>
  <si>
    <t>Isothermal equation</t>
  </si>
  <si>
    <t>q’h iso</t>
  </si>
  <si>
    <t>scfh</t>
  </si>
  <si>
    <t>If the difference in between assumed and calculated is too big, put back the calculated value</t>
  </si>
  <si>
    <t>Weymouth equation</t>
  </si>
  <si>
    <t>q’h wey</t>
  </si>
  <si>
    <t>at the place of the assumed value above</t>
  </si>
  <si>
    <t>Panhandle A equation</t>
  </si>
  <si>
    <t>q’h pan A</t>
  </si>
  <si>
    <t>Panhandle B equation</t>
  </si>
  <si>
    <t>q’h pan B</t>
  </si>
  <si>
    <t>If you spot a mistake or wish to suggest an improvement, please contact admin@powderprocess.net</t>
  </si>
  <si>
    <t>Copyright www.PowderProcess.net</t>
  </si>
  <si>
    <t>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</si>
  <si>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FOR EDUCATIONAL PURPOSE ONLY – DO NOT USE THIS METHOD FOR DETAIL DESIGN – ALWAYS CONSULT A REPUTABLE SUPPLIER FOR DETAIL DESIGN</t>
  </si>
  <si>
    <t>e (pipe roughness)</t>
  </si>
  <si>
    <t>e/d</t>
  </si>
  <si>
    <t>For non laminar flow using chart    ======&gt;</t>
  </si>
  <si>
    <t>C7H16 +</t>
  </si>
  <si>
    <t>Q (Flowrate, MMscfd)</t>
  </si>
  <si>
    <t>T1 (Inlet Temperature, F)</t>
  </si>
  <si>
    <r>
      <t>T</t>
    </r>
    <r>
      <rPr>
        <vertAlign val="subscript"/>
        <sz val="9"/>
        <color theme="1"/>
        <rFont val="Aptos Narrow"/>
        <family val="2"/>
        <scheme val="minor"/>
      </rPr>
      <t>1</t>
    </r>
    <r>
      <rPr>
        <sz val="11"/>
        <color theme="1"/>
        <rFont val="Aptos Narrow"/>
        <family val="2"/>
        <scheme val="minor"/>
      </rPr>
      <t xml:space="preserve"> (Inlet Temperature, F)</t>
    </r>
  </si>
  <si>
    <t>P1 (Inlet Pressure ,psia)</t>
  </si>
  <si>
    <r>
      <t>P</t>
    </r>
    <r>
      <rPr>
        <vertAlign val="subscript"/>
        <sz val="9"/>
        <color theme="1"/>
        <rFont val="Aptos Narrow"/>
        <family val="2"/>
        <scheme val="minor"/>
      </rPr>
      <t>1</t>
    </r>
    <r>
      <rPr>
        <sz val="11"/>
        <color theme="1"/>
        <rFont val="Aptos Narrow"/>
        <family val="2"/>
        <scheme val="minor"/>
      </rPr>
      <t xml:space="preserve"> (Inlet Pressure ,psia)</t>
    </r>
  </si>
  <si>
    <t>E (Pipeline efficiency ,fraction)</t>
  </si>
  <si>
    <t>μ (dynamic viscosity, lbm/sec- ft)</t>
  </si>
  <si>
    <t>f = Darcy-Weisbach friction factor (dimensionless) determined from Reynolds Number</t>
  </si>
  <si>
    <t>L = length of the pipe  (ft)</t>
  </si>
  <si>
    <t>D =internal diameter of the pipe (ft)</t>
  </si>
  <si>
    <t xml:space="preserve"> v = flow velocity of the gas  (ft/s)</t>
  </si>
  <si>
    <t>ΔP = pressure drop (psi)</t>
  </si>
  <si>
    <r>
      <t xml:space="preserve">ΔP </t>
    </r>
    <r>
      <rPr>
        <sz val="11"/>
        <color theme="1"/>
        <rFont val="Aptos Narrow"/>
        <family val="2"/>
        <scheme val="minor"/>
      </rPr>
      <t>= f*(L/D)*ρ*(v</t>
    </r>
    <r>
      <rPr>
        <vertAlign val="superscript"/>
        <sz val="11"/>
        <color theme="1"/>
        <rFont val="Aptos Narrow"/>
        <family val="2"/>
        <scheme val="minor"/>
      </rPr>
      <t>2</t>
    </r>
    <r>
      <rPr>
        <sz val="11"/>
        <color theme="1"/>
        <rFont val="Aptos Narrow"/>
        <family val="2"/>
        <scheme val="minor"/>
      </rPr>
      <t>)/9265</t>
    </r>
  </si>
  <si>
    <t xml:space="preserve"> ρ = density of the gas (lbs/ft³)</t>
  </si>
  <si>
    <t>Re = ρ * ν * L / μ</t>
  </si>
  <si>
    <r>
      <t>ρ = density (lbm/ft</t>
    </r>
    <r>
      <rPr>
        <vertAlign val="superscript"/>
        <sz val="10"/>
        <color theme="1"/>
        <rFont val="Aptos Narrow"/>
        <family val="2"/>
        <scheme val="minor"/>
      </rPr>
      <t>3</t>
    </r>
    <r>
      <rPr>
        <sz val="11"/>
        <color theme="1"/>
        <rFont val="Aptos Narrow"/>
        <family val="2"/>
        <scheme val="minor"/>
      </rPr>
      <t>)</t>
    </r>
  </si>
  <si>
    <t>ν = velocity based on the actual cross section area of the duct or pipe (ft/s)</t>
  </si>
  <si>
    <t>= ρ * v2 / (μ * v / L)</t>
  </si>
  <si>
    <t>= v * L / u                                                    </t>
  </si>
  <si>
    <t>μ = dynamic viscosity (lbm/sec- ft)</t>
  </si>
  <si>
    <t>L = characteristic length (ft)</t>
  </si>
  <si>
    <t>u = μ / ρ = kinematic viscosity (ft2/s)</t>
  </si>
  <si>
    <t>f ( friction factor)</t>
  </si>
  <si>
    <r>
      <t>P</t>
    </r>
    <r>
      <rPr>
        <vertAlign val="subscript"/>
        <sz val="10"/>
        <color theme="1"/>
        <rFont val="Aptos Narrow"/>
        <family val="2"/>
        <scheme val="minor"/>
      </rPr>
      <t>2</t>
    </r>
    <r>
      <rPr>
        <sz val="11"/>
        <color theme="1"/>
        <rFont val="Aptos Narrow"/>
        <family val="2"/>
        <scheme val="minor"/>
      </rPr>
      <t xml:space="preserve"> =</t>
    </r>
  </si>
  <si>
    <r>
      <t>P</t>
    </r>
    <r>
      <rPr>
        <vertAlign val="subscript"/>
        <sz val="10"/>
        <color theme="1"/>
        <rFont val="Aptos Narrow"/>
        <family val="2"/>
        <scheme val="minor"/>
      </rPr>
      <t xml:space="preserve">2 </t>
    </r>
    <r>
      <rPr>
        <sz val="11"/>
        <color theme="1"/>
        <rFont val="Aptos Narrow"/>
        <family val="2"/>
        <scheme val="minor"/>
      </rPr>
      <t>= {(P</t>
    </r>
    <r>
      <rPr>
        <vertAlign val="subscript"/>
        <sz val="10"/>
        <color theme="1"/>
        <rFont val="Aptos Narrow"/>
        <family val="2"/>
        <scheme val="minor"/>
      </rPr>
      <t>1</t>
    </r>
    <r>
      <rPr>
        <sz val="10"/>
        <color theme="1"/>
        <rFont val="Aptos Narrow"/>
        <family val="2"/>
        <scheme val="minor"/>
      </rPr>
      <t>)</t>
    </r>
    <r>
      <rPr>
        <vertAlign val="superscript"/>
        <sz val="10"/>
        <color theme="1"/>
        <rFont val="Aptos Narrow"/>
        <family val="2"/>
        <scheme val="minor"/>
      </rPr>
      <t xml:space="preserve">2 </t>
    </r>
    <r>
      <rPr>
        <sz val="11"/>
        <color theme="1"/>
        <rFont val="Aptos Narrow"/>
        <family val="2"/>
        <scheme val="minor"/>
      </rPr>
      <t>- (L</t>
    </r>
    <r>
      <rPr>
        <vertAlign val="subscript"/>
        <sz val="10"/>
        <color theme="1"/>
        <rFont val="Aptos Narrow"/>
        <family val="2"/>
        <scheme val="minor"/>
      </rPr>
      <t>e</t>
    </r>
    <r>
      <rPr>
        <sz val="11"/>
        <color theme="1"/>
        <rFont val="Aptos Narrow"/>
        <family val="2"/>
        <scheme val="minor"/>
      </rPr>
      <t>*G</t>
    </r>
    <r>
      <rPr>
        <vertAlign val="superscript"/>
        <sz val="10"/>
        <color theme="1"/>
        <rFont val="Aptos Narrow"/>
        <family val="2"/>
        <scheme val="minor"/>
      </rPr>
      <t>0.8539</t>
    </r>
    <r>
      <rPr>
        <sz val="11"/>
        <color theme="1"/>
        <rFont val="Aptos Narrow"/>
        <family val="2"/>
        <scheme val="minor"/>
      </rPr>
      <t>*Z*T</t>
    </r>
    <r>
      <rPr>
        <vertAlign val="subscript"/>
        <sz val="10"/>
        <color theme="1"/>
        <rFont val="Aptos Narrow"/>
        <family val="2"/>
        <scheme val="minor"/>
      </rPr>
      <t>f</t>
    </r>
    <r>
      <rPr>
        <sz val="11"/>
        <color theme="1"/>
        <rFont val="Aptos Narrow"/>
        <family val="2"/>
        <scheme val="minor"/>
      </rPr>
      <t>)*[Q/(435.27*E*(T</t>
    </r>
    <r>
      <rPr>
        <vertAlign val="subscript"/>
        <sz val="10"/>
        <color theme="1"/>
        <rFont val="Aptos Narrow"/>
        <family val="2"/>
        <scheme val="minor"/>
      </rPr>
      <t>b</t>
    </r>
    <r>
      <rPr>
        <sz val="11"/>
        <color theme="1"/>
        <rFont val="Aptos Narrow"/>
        <family val="2"/>
        <scheme val="minor"/>
      </rPr>
      <t>/P</t>
    </r>
    <r>
      <rPr>
        <vertAlign val="subscript"/>
        <sz val="10"/>
        <color theme="1"/>
        <rFont val="Aptos Narrow"/>
        <family val="2"/>
        <scheme val="minor"/>
      </rPr>
      <t>b</t>
    </r>
    <r>
      <rPr>
        <sz val="11"/>
        <color theme="1"/>
        <rFont val="Aptos Narrow"/>
        <family val="2"/>
        <scheme val="minor"/>
      </rPr>
      <t>)</t>
    </r>
    <r>
      <rPr>
        <vertAlign val="superscript"/>
        <sz val="10"/>
        <color theme="1"/>
        <rFont val="Aptos Narrow"/>
        <family val="2"/>
        <scheme val="minor"/>
      </rPr>
      <t>1.0788</t>
    </r>
    <r>
      <rPr>
        <sz val="11"/>
        <color theme="1"/>
        <rFont val="Aptos Narrow"/>
        <family val="2"/>
        <scheme val="minor"/>
      </rPr>
      <t>*D</t>
    </r>
    <r>
      <rPr>
        <vertAlign val="superscript"/>
        <sz val="10"/>
        <color theme="1"/>
        <rFont val="Aptos Narrow"/>
        <family val="2"/>
        <scheme val="minor"/>
      </rPr>
      <t>2.6182</t>
    </r>
    <r>
      <rPr>
        <sz val="11"/>
        <color theme="1"/>
        <rFont val="Aptos Narrow"/>
        <family val="2"/>
        <scheme val="minor"/>
      </rPr>
      <t>)]</t>
    </r>
    <r>
      <rPr>
        <vertAlign val="superscript"/>
        <sz val="10"/>
        <color theme="1"/>
        <rFont val="Aptos Narrow"/>
        <family val="2"/>
        <scheme val="minor"/>
      </rPr>
      <t>1/0.5394</t>
    </r>
    <r>
      <rPr>
        <sz val="11"/>
        <color theme="1"/>
        <rFont val="Aptos Narrow"/>
        <family val="2"/>
        <scheme val="minor"/>
      </rPr>
      <t>}</t>
    </r>
    <r>
      <rPr>
        <vertAlign val="superscript"/>
        <sz val="10"/>
        <color theme="1"/>
        <rFont val="Aptos Narrow"/>
        <family val="2"/>
        <scheme val="minor"/>
      </rPr>
      <t>0.5</t>
    </r>
  </si>
  <si>
    <r>
      <t>P</t>
    </r>
    <r>
      <rPr>
        <vertAlign val="subscript"/>
        <sz val="10"/>
        <color theme="1"/>
        <rFont val="Aptos Narrow"/>
        <family val="2"/>
        <scheme val="minor"/>
      </rPr>
      <t xml:space="preserve">2 </t>
    </r>
    <r>
      <rPr>
        <sz val="11"/>
        <color theme="1"/>
        <rFont val="Aptos Narrow"/>
        <family val="2"/>
        <scheme val="minor"/>
      </rPr>
      <t>= {(P</t>
    </r>
    <r>
      <rPr>
        <vertAlign val="subscript"/>
        <sz val="10"/>
        <color theme="1"/>
        <rFont val="Aptos Narrow"/>
        <family val="2"/>
        <scheme val="minor"/>
      </rPr>
      <t>1</t>
    </r>
    <r>
      <rPr>
        <sz val="10"/>
        <color theme="1"/>
        <rFont val="Aptos Narrow"/>
        <family val="2"/>
        <scheme val="minor"/>
      </rPr>
      <t>)</t>
    </r>
    <r>
      <rPr>
        <vertAlign val="superscript"/>
        <sz val="10"/>
        <color theme="1"/>
        <rFont val="Aptos Narrow"/>
        <family val="2"/>
        <scheme val="minor"/>
      </rPr>
      <t xml:space="preserve">2 </t>
    </r>
    <r>
      <rPr>
        <sz val="11"/>
        <color theme="1"/>
        <rFont val="Aptos Narrow"/>
        <family val="2"/>
        <scheme val="minor"/>
      </rPr>
      <t>- (L</t>
    </r>
    <r>
      <rPr>
        <vertAlign val="subscript"/>
        <sz val="10"/>
        <color theme="1"/>
        <rFont val="Aptos Narrow"/>
        <family val="2"/>
        <scheme val="minor"/>
      </rPr>
      <t>e</t>
    </r>
    <r>
      <rPr>
        <sz val="11"/>
        <color theme="1"/>
        <rFont val="Aptos Narrow"/>
        <family val="2"/>
        <scheme val="minor"/>
      </rPr>
      <t>*G</t>
    </r>
    <r>
      <rPr>
        <vertAlign val="superscript"/>
        <sz val="10"/>
        <color theme="1"/>
        <rFont val="Aptos Narrow"/>
        <family val="2"/>
        <scheme val="minor"/>
      </rPr>
      <t>0.951</t>
    </r>
    <r>
      <rPr>
        <sz val="11"/>
        <color theme="1"/>
        <rFont val="Aptos Narrow"/>
        <family val="2"/>
        <scheme val="minor"/>
      </rPr>
      <t>*Z*T</t>
    </r>
    <r>
      <rPr>
        <vertAlign val="subscript"/>
        <sz val="10"/>
        <color theme="1"/>
        <rFont val="Aptos Narrow"/>
        <family val="2"/>
        <scheme val="minor"/>
      </rPr>
      <t>f</t>
    </r>
    <r>
      <rPr>
        <sz val="11"/>
        <color theme="1"/>
        <rFont val="Aptos Narrow"/>
        <family val="2"/>
        <scheme val="minor"/>
      </rPr>
      <t>)*[Q/(737*E*(T</t>
    </r>
    <r>
      <rPr>
        <vertAlign val="subscript"/>
        <sz val="10"/>
        <color theme="1"/>
        <rFont val="Aptos Narrow"/>
        <family val="2"/>
        <scheme val="minor"/>
      </rPr>
      <t>b</t>
    </r>
    <r>
      <rPr>
        <sz val="11"/>
        <color theme="1"/>
        <rFont val="Aptos Narrow"/>
        <family val="2"/>
        <scheme val="minor"/>
      </rPr>
      <t>/P</t>
    </r>
    <r>
      <rPr>
        <vertAlign val="subscript"/>
        <sz val="10"/>
        <color theme="1"/>
        <rFont val="Aptos Narrow"/>
        <family val="2"/>
        <scheme val="minor"/>
      </rPr>
      <t>b</t>
    </r>
    <r>
      <rPr>
        <sz val="11"/>
        <color theme="1"/>
        <rFont val="Aptos Narrow"/>
        <family val="2"/>
        <scheme val="minor"/>
      </rPr>
      <t>)</t>
    </r>
    <r>
      <rPr>
        <vertAlign val="superscript"/>
        <sz val="10"/>
        <color theme="1"/>
        <rFont val="Aptos Narrow"/>
        <family val="2"/>
        <scheme val="minor"/>
      </rPr>
      <t>1.02</t>
    </r>
    <r>
      <rPr>
        <sz val="11"/>
        <color theme="1"/>
        <rFont val="Aptos Narrow"/>
        <family val="2"/>
        <scheme val="minor"/>
      </rPr>
      <t>*D</t>
    </r>
    <r>
      <rPr>
        <vertAlign val="superscript"/>
        <sz val="10"/>
        <color theme="1"/>
        <rFont val="Aptos Narrow"/>
        <family val="2"/>
        <scheme val="minor"/>
      </rPr>
      <t>2.53</t>
    </r>
    <r>
      <rPr>
        <sz val="11"/>
        <color theme="1"/>
        <rFont val="Aptos Narrow"/>
        <family val="2"/>
        <scheme val="minor"/>
      </rPr>
      <t>)]</t>
    </r>
    <r>
      <rPr>
        <vertAlign val="superscript"/>
        <sz val="10"/>
        <color theme="1"/>
        <rFont val="Aptos Narrow"/>
        <family val="2"/>
        <scheme val="minor"/>
      </rPr>
      <t>1/0.51</t>
    </r>
    <r>
      <rPr>
        <sz val="11"/>
        <color theme="1"/>
        <rFont val="Aptos Narrow"/>
        <family val="2"/>
        <scheme val="minor"/>
      </rPr>
      <t>}</t>
    </r>
    <r>
      <rPr>
        <vertAlign val="superscript"/>
        <sz val="10"/>
        <color theme="1"/>
        <rFont val="Aptos Narrow"/>
        <family val="2"/>
        <scheme val="minor"/>
      </rPr>
      <t>0.5</t>
    </r>
  </si>
  <si>
    <r>
      <t>T</t>
    </r>
    <r>
      <rPr>
        <vertAlign val="subscript"/>
        <sz val="10"/>
        <color theme="1"/>
        <rFont val="Aptos Narrow"/>
        <family val="2"/>
        <scheme val="minor"/>
      </rPr>
      <t>b</t>
    </r>
    <r>
      <rPr>
        <sz val="11"/>
        <color theme="1"/>
        <rFont val="Aptos Narrow"/>
        <family val="2"/>
        <scheme val="minor"/>
      </rPr>
      <t>, Temperature Base (520 °R)</t>
    </r>
  </si>
  <si>
    <t>Q,  Flow Rate (ft3/day)</t>
  </si>
  <si>
    <r>
      <rPr>
        <sz val="10"/>
        <color theme="1"/>
        <rFont val="Aptos Narrow"/>
        <family val="2"/>
        <scheme val="minor"/>
      </rPr>
      <t>P</t>
    </r>
    <r>
      <rPr>
        <vertAlign val="subscript"/>
        <sz val="10"/>
        <color theme="1"/>
        <rFont val="Aptos Narrow"/>
        <family val="2"/>
        <scheme val="minor"/>
      </rPr>
      <t>b</t>
    </r>
    <r>
      <rPr>
        <sz val="11"/>
        <color theme="1"/>
        <rFont val="Aptos Narrow"/>
        <family val="2"/>
        <scheme val="minor"/>
      </rPr>
      <t>, Pressure Base (14.65 psia)</t>
    </r>
  </si>
  <si>
    <t>D,  Internal Diameter (in)</t>
  </si>
  <si>
    <r>
      <t>P</t>
    </r>
    <r>
      <rPr>
        <vertAlign val="subscript"/>
        <sz val="10"/>
        <color theme="1"/>
        <rFont val="Aptos Narrow"/>
        <family val="2"/>
        <scheme val="minor"/>
      </rPr>
      <t>1</t>
    </r>
    <r>
      <rPr>
        <sz val="11"/>
        <color theme="1"/>
        <rFont val="Aptos Narrow"/>
        <family val="2"/>
        <scheme val="minor"/>
      </rPr>
      <t>,  Upstream Pressure (psia)</t>
    </r>
  </si>
  <si>
    <r>
      <t>P</t>
    </r>
    <r>
      <rPr>
        <vertAlign val="subscript"/>
        <sz val="10"/>
        <color theme="1"/>
        <rFont val="Aptos Narrow"/>
        <family val="2"/>
        <scheme val="minor"/>
      </rPr>
      <t>2</t>
    </r>
    <r>
      <rPr>
        <sz val="11"/>
        <color theme="1"/>
        <rFont val="Aptos Narrow"/>
        <family val="2"/>
        <scheme val="minor"/>
      </rPr>
      <t>,  Downstream Pressure (psia)</t>
    </r>
  </si>
  <si>
    <t>G, Gas Specific Gravity</t>
  </si>
  <si>
    <r>
      <t>L</t>
    </r>
    <r>
      <rPr>
        <vertAlign val="subscript"/>
        <sz val="10"/>
        <color theme="1"/>
        <rFont val="Aptos Narrow"/>
        <family val="2"/>
        <scheme val="minor"/>
      </rPr>
      <t>e</t>
    </r>
    <r>
      <rPr>
        <sz val="11"/>
        <color theme="1"/>
        <rFont val="Aptos Narrow"/>
        <family val="2"/>
        <scheme val="minor"/>
      </rPr>
      <t>.  Pipe Segment Length including Expansion (miles)</t>
    </r>
  </si>
  <si>
    <r>
      <t>T</t>
    </r>
    <r>
      <rPr>
        <vertAlign val="subscript"/>
        <sz val="10"/>
        <color theme="1"/>
        <rFont val="Aptos Narrow"/>
        <family val="2"/>
        <scheme val="minor"/>
      </rPr>
      <t>f</t>
    </r>
    <r>
      <rPr>
        <sz val="11"/>
        <color theme="1"/>
        <rFont val="Aptos Narrow"/>
        <family val="2"/>
        <scheme val="minor"/>
      </rPr>
      <t>,  Gas Flowing Temperature (°R)</t>
    </r>
  </si>
  <si>
    <r>
      <t>f = 0.316/Re</t>
    </r>
    <r>
      <rPr>
        <vertAlign val="superscript"/>
        <sz val="10"/>
        <color theme="1"/>
        <rFont val="Aptos Narrow"/>
        <family val="2"/>
        <scheme val="minor"/>
      </rPr>
      <t>0.25</t>
    </r>
  </si>
  <si>
    <r>
      <t>f = [1.14+2log(D/e)]</t>
    </r>
    <r>
      <rPr>
        <vertAlign val="superscript"/>
        <sz val="10"/>
        <color theme="1"/>
        <rFont val="Aptos Narrow"/>
        <family val="2"/>
        <scheme val="minor"/>
      </rPr>
      <t>-2</t>
    </r>
  </si>
  <si>
    <r>
      <t>f = {-2log[(e/D)/3.7+2.51/(Re*f</t>
    </r>
    <r>
      <rPr>
        <vertAlign val="superscript"/>
        <sz val="10"/>
        <color theme="1"/>
        <rFont val="Aptos Narrow"/>
        <family val="2"/>
        <scheme val="minor"/>
      </rPr>
      <t>0.5</t>
    </r>
    <r>
      <rPr>
        <sz val="11"/>
        <color theme="1"/>
        <rFont val="Aptos Narrow"/>
        <family val="2"/>
        <scheme val="minor"/>
      </rPr>
      <t>)]}</t>
    </r>
    <r>
      <rPr>
        <vertAlign val="superscript"/>
        <sz val="10"/>
        <color theme="1"/>
        <rFont val="Aptos Narrow"/>
        <family val="2"/>
        <scheme val="minor"/>
      </rPr>
      <t>-2</t>
    </r>
  </si>
  <si>
    <t>&lt;= calculated from Properties Tab</t>
  </si>
  <si>
    <t>&lt;= from Properties Tab</t>
  </si>
  <si>
    <r>
      <t xml:space="preserve">&lt;= calculated from friction factor equations below </t>
    </r>
    <r>
      <rPr>
        <vertAlign val="superscript"/>
        <sz val="10"/>
        <color theme="1"/>
        <rFont val="Aptos Narrow"/>
        <family val="2"/>
        <scheme val="minor"/>
      </rPr>
      <t>*2</t>
    </r>
  </si>
  <si>
    <t>D (pipeline inside diameter, ft)</t>
  </si>
  <si>
    <t>Re, Reynolds Number</t>
  </si>
  <si>
    <t>ΔP/P  (%) *1</t>
  </si>
  <si>
    <t>Example 1</t>
  </si>
  <si>
    <t>Example 2</t>
  </si>
  <si>
    <t>Calculate pressure drop for a 5.2 GPM gas from a wellhead separator flowing at 3.5MMscfd into a 2 mile long, 8" ID steel pipeline at 80F and 100 psia</t>
  </si>
  <si>
    <t>ΔP/P  (%)</t>
  </si>
  <si>
    <r>
      <t>P</t>
    </r>
    <r>
      <rPr>
        <vertAlign val="subscript"/>
        <sz val="10"/>
        <color theme="1"/>
        <rFont val="Aptos Narrow"/>
        <family val="2"/>
        <scheme val="minor"/>
      </rPr>
      <t xml:space="preserve">2 </t>
    </r>
    <r>
      <rPr>
        <sz val="11"/>
        <color theme="1"/>
        <rFont val="Aptos Narrow"/>
        <family val="2"/>
        <scheme val="minor"/>
      </rPr>
      <t>= {(P</t>
    </r>
    <r>
      <rPr>
        <vertAlign val="subscript"/>
        <sz val="10"/>
        <color theme="1"/>
        <rFont val="Aptos Narrow"/>
        <family val="2"/>
        <scheme val="minor"/>
      </rPr>
      <t>1</t>
    </r>
    <r>
      <rPr>
        <sz val="10"/>
        <color theme="1"/>
        <rFont val="Aptos Narrow"/>
        <family val="2"/>
        <scheme val="minor"/>
      </rPr>
      <t>)</t>
    </r>
    <r>
      <rPr>
        <vertAlign val="superscript"/>
        <sz val="10"/>
        <color theme="1"/>
        <rFont val="Aptos Narrow"/>
        <family val="2"/>
        <scheme val="minor"/>
      </rPr>
      <t xml:space="preserve">2 </t>
    </r>
    <r>
      <rPr>
        <sz val="11"/>
        <color theme="1"/>
        <rFont val="Aptos Narrow"/>
        <family val="2"/>
        <scheme val="minor"/>
      </rPr>
      <t>- (L</t>
    </r>
    <r>
      <rPr>
        <vertAlign val="subscript"/>
        <sz val="10"/>
        <color theme="1"/>
        <rFont val="Aptos Narrow"/>
        <family val="2"/>
        <scheme val="minor"/>
      </rPr>
      <t>e</t>
    </r>
    <r>
      <rPr>
        <sz val="11"/>
        <color theme="1"/>
        <rFont val="Aptos Narrow"/>
        <family val="2"/>
        <scheme val="minor"/>
      </rPr>
      <t>*G*T</t>
    </r>
    <r>
      <rPr>
        <vertAlign val="subscript"/>
        <sz val="10"/>
        <color theme="1"/>
        <rFont val="Aptos Narrow"/>
        <family val="2"/>
        <scheme val="minor"/>
      </rPr>
      <t>f</t>
    </r>
    <r>
      <rPr>
        <sz val="11"/>
        <color theme="1"/>
        <rFont val="Aptos Narrow"/>
        <family val="2"/>
        <scheme val="minor"/>
      </rPr>
      <t>)*[Q/(433.59*(T</t>
    </r>
    <r>
      <rPr>
        <vertAlign val="subscript"/>
        <sz val="10"/>
        <color theme="1"/>
        <rFont val="Aptos Narrow"/>
        <family val="2"/>
        <scheme val="minor"/>
      </rPr>
      <t>b</t>
    </r>
    <r>
      <rPr>
        <sz val="11"/>
        <color theme="1"/>
        <rFont val="Aptos Narrow"/>
        <family val="2"/>
        <scheme val="minor"/>
      </rPr>
      <t>/P</t>
    </r>
    <r>
      <rPr>
        <vertAlign val="subscript"/>
        <sz val="10"/>
        <color theme="1"/>
        <rFont val="Aptos Narrow"/>
        <family val="2"/>
        <scheme val="minor"/>
      </rPr>
      <t>b</t>
    </r>
    <r>
      <rPr>
        <sz val="11"/>
        <color theme="1"/>
        <rFont val="Aptos Narrow"/>
        <family val="2"/>
        <scheme val="minor"/>
      </rPr>
      <t>)*D</t>
    </r>
    <r>
      <rPr>
        <vertAlign val="superscript"/>
        <sz val="10"/>
        <color theme="1"/>
        <rFont val="Aptos Narrow"/>
        <family val="2"/>
        <scheme val="minor"/>
      </rPr>
      <t>2.667</t>
    </r>
    <r>
      <rPr>
        <sz val="11"/>
        <color theme="1"/>
        <rFont val="Aptos Narrow"/>
        <family val="2"/>
        <scheme val="minor"/>
      </rPr>
      <t>)]</t>
    </r>
    <r>
      <rPr>
        <vertAlign val="superscript"/>
        <sz val="10"/>
        <color theme="1"/>
        <rFont val="Aptos Narrow"/>
        <family val="2"/>
        <scheme val="minor"/>
      </rPr>
      <t>2</t>
    </r>
    <r>
      <rPr>
        <sz val="11"/>
        <color theme="1"/>
        <rFont val="Aptos Narrow"/>
        <family val="2"/>
        <scheme val="minor"/>
      </rPr>
      <t>}</t>
    </r>
    <r>
      <rPr>
        <vertAlign val="superscript"/>
        <sz val="10"/>
        <color theme="1"/>
        <rFont val="Aptos Narrow"/>
        <family val="2"/>
        <scheme val="minor"/>
      </rPr>
      <t>0.5</t>
    </r>
  </si>
  <si>
    <t>ΔP, psi (DWSIM)</t>
  </si>
  <si>
    <t>Check using DWSIM process simulator with Lockart/Martinelli Correlation</t>
  </si>
  <si>
    <t>Calculate pressure drop for a 5.2 GPM gas from a wellhead separator flowing at 25MMscfd into a 10 mile long, 18" ID steel pipeline at 80F and 1000 psia</t>
  </si>
  <si>
    <t>at flowing conditions</t>
  </si>
  <si>
    <t>Q (Flowrate, Mcfd)</t>
  </si>
  <si>
    <r>
      <t xml:space="preserve"> *</t>
    </r>
    <r>
      <rPr>
        <vertAlign val="superscript"/>
        <sz val="10"/>
        <color theme="1"/>
        <rFont val="Aptos Narrow"/>
        <family val="2"/>
        <scheme val="minor"/>
      </rPr>
      <t>1</t>
    </r>
    <r>
      <rPr>
        <sz val="11"/>
        <color theme="1"/>
        <rFont val="Aptos Narrow"/>
        <family val="2"/>
        <scheme val="minor"/>
      </rPr>
      <t xml:space="preserve"> Darcy-Weisbach valid for ΔP/P  &lt; 40%</t>
    </r>
  </si>
  <si>
    <r>
      <t>D</t>
    </r>
    <r>
      <rPr>
        <sz val="8"/>
        <color theme="1"/>
        <rFont val="Aptos Narrow"/>
        <family val="2"/>
        <scheme val="minor"/>
      </rPr>
      <t xml:space="preserve"> </t>
    </r>
    <r>
      <rPr>
        <sz val="11"/>
        <color theme="1"/>
        <rFont val="Aptos Narrow"/>
        <family val="2"/>
        <scheme val="minor"/>
      </rPr>
      <t>(pipeline inside diameter, 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</si>
</sst>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0.000"/>
    <numFmt numFmtId="166" formatCode="0.0"/>
    <numFmt numFmtId="167" formatCode="0.000E+00"/>
    <numFmt numFmtId="168" formatCode="0.0E+00"/>
    <numFmt numFmtId="169" formatCode="0.0%"/>
  </numFmts>
  <fonts count="27">
    <font>
      <sz val="11"/>
      <color theme="1"/>
      <name val="Aptos Narrow"/>
      <family val="2"/>
      <scheme val="minor"/>
    </font>
    <font>
      <b/>
      <sz val="11"/>
      <color theme="1"/>
      <name val="Aptos Narrow"/>
      <family val="2"/>
      <scheme val="minor"/>
    </font>
    <font>
      <sz val="9"/>
      <color theme="1"/>
      <name val="Aptos Narrow"/>
      <family val="2"/>
      <scheme val="minor"/>
    </font>
    <font>
      <vertAlign val="subscript"/>
      <sz val="10"/>
      <name val="Arial"/>
      <family val="2"/>
    </font>
    <font>
      <sz val="10"/>
      <color theme="1"/>
      <name val="Aptos Narrow"/>
      <family val="2"/>
      <scheme val="minor"/>
    </font>
    <font>
      <vertAlign val="superscript"/>
      <sz val="10"/>
      <name val="Arial"/>
      <family val="2"/>
    </font>
    <font>
      <b/>
      <sz val="14"/>
      <color theme="1"/>
      <name val="Aptos Narrow"/>
      <family val="2"/>
      <scheme val="minor"/>
    </font>
    <font>
      <sz val="8"/>
      <color theme="1"/>
      <name val="Aptos Narrow"/>
      <family val="2"/>
      <scheme val="minor"/>
    </font>
    <font>
      <vertAlign val="superscript"/>
      <sz val="11"/>
      <color theme="1"/>
      <name val="Aptos Narrow"/>
      <family val="2"/>
      <scheme val="minor"/>
    </font>
    <font>
      <b/>
      <sz val="16"/>
      <color theme="1"/>
      <name val="Aptos Narrow"/>
      <family val="2"/>
      <scheme val="minor"/>
    </font>
    <font>
      <b/>
      <i/>
      <sz val="11"/>
      <color theme="1"/>
      <name val="Aptos Narrow"/>
      <family val="2"/>
      <scheme val="minor"/>
    </font>
    <font>
      <vertAlign val="superscript"/>
      <sz val="10"/>
      <color theme="1"/>
      <name val="Aptos Narrow"/>
      <family val="2"/>
      <scheme val="minor"/>
    </font>
    <font>
      <b/>
      <sz val="12"/>
      <color theme="1"/>
      <name val="Aptos Narrow"/>
      <family val="2"/>
      <scheme val="minor"/>
    </font>
    <font>
      <b/>
      <i/>
      <sz val="12"/>
      <color theme="1"/>
      <name val="Aptos Narrow"/>
      <family val="2"/>
      <scheme val="minor"/>
    </font>
    <font>
      <sz val="10"/>
      <name val="Arial"/>
      <family val="2"/>
      <charset val="134"/>
    </font>
    <font>
      <sz val="10"/>
      <name val="Arial"/>
      <family val="2"/>
      <charset val="1"/>
    </font>
    <font>
      <b/>
      <sz val="10"/>
      <name val="Arial"/>
      <family val="2"/>
      <charset val="1"/>
    </font>
    <font>
      <b/>
      <sz val="11"/>
      <color rgb="FF1F497D"/>
      <name val="Calibri"/>
      <family val="2"/>
      <charset val="1"/>
    </font>
    <font>
      <b/>
      <sz val="11"/>
      <color rgb="FFFF0000"/>
      <name val="Calibri"/>
      <family val="2"/>
      <charset val="1"/>
    </font>
    <font>
      <b/>
      <sz val="10"/>
      <name val="Arial"/>
      <family val="2"/>
      <charset val="134"/>
    </font>
    <font>
      <sz val="11"/>
      <name val="Calibri"/>
      <family val="2"/>
      <charset val="1"/>
    </font>
    <font>
      <sz val="10"/>
      <color rgb="FF0000FF"/>
      <name val="Arial"/>
      <family val="2"/>
      <charset val="1"/>
    </font>
    <font>
      <sz val="10"/>
      <name val="Times New Roman"/>
      <family val="1"/>
      <charset val="1"/>
    </font>
    <font>
      <i/>
      <sz val="7"/>
      <name val="Times New Roman"/>
      <family val="1"/>
      <charset val="1"/>
    </font>
    <font>
      <vertAlign val="subscript"/>
      <sz val="9"/>
      <color theme="1"/>
      <name val="Aptos Narrow"/>
      <family val="2"/>
      <scheme val="minor"/>
    </font>
    <font>
      <vertAlign val="subscript"/>
      <sz val="10"/>
      <color theme="1"/>
      <name val="Aptos Narrow"/>
      <family val="2"/>
      <scheme val="minor"/>
    </font>
    <font>
      <i/>
      <u/>
      <sz val="11"/>
      <color theme="1"/>
      <name val="Aptos Narrow"/>
      <family val="2"/>
      <scheme val="minor"/>
    </font>
  </fonts>
  <fills count="1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ED1C24"/>
        <bgColor rgb="FFF10D0C"/>
      </patternFill>
    </fill>
    <fill>
      <patternFill patternType="solid">
        <fgColor rgb="FFEBF1DE"/>
        <bgColor rgb="FFFFFFFF"/>
      </patternFill>
    </fill>
    <fill>
      <patternFill patternType="solid">
        <fgColor rgb="FFFCD5B5"/>
        <bgColor rgb="FFEBF1DE"/>
      </patternFill>
    </fill>
    <fill>
      <patternFill patternType="solid">
        <fgColor rgb="FFCCCCCC"/>
        <bgColor rgb="FFCCCCFF"/>
      </patternFill>
    </fill>
    <fill>
      <patternFill patternType="solid">
        <fgColor rgb="FFF10D0C"/>
        <bgColor rgb="FFFF0000"/>
      </patternFill>
    </fill>
    <fill>
      <patternFill patternType="solid">
        <fgColor rgb="FFB5E6A2"/>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14" fillId="0" borderId="0"/>
  </cellStyleXfs>
  <cellXfs count="197">
    <xf numFmtId="0" fontId="0" fillId="0" borderId="0" xfId="0"/>
    <xf numFmtId="0" fontId="0" fillId="0" borderId="0" xfId="0" applyAlignment="1">
      <alignment horizontal="center"/>
    </xf>
    <xf numFmtId="0" fontId="0" fillId="3" borderId="0" xfId="0" applyFill="1" applyAlignment="1">
      <alignment horizontal="center"/>
    </xf>
    <xf numFmtId="2" fontId="0" fillId="3" borderId="0" xfId="0" applyNumberFormat="1" applyFill="1" applyAlignment="1">
      <alignment horizontal="center"/>
    </xf>
    <xf numFmtId="165" fontId="0" fillId="3" borderId="0" xfId="0" applyNumberFormat="1" applyFill="1" applyAlignment="1">
      <alignment horizontal="center"/>
    </xf>
    <xf numFmtId="0" fontId="0" fillId="3" borderId="8" xfId="0" applyFill="1" applyBorder="1" applyAlignment="1">
      <alignment horizontal="center"/>
    </xf>
    <xf numFmtId="0" fontId="1" fillId="3" borderId="0" xfId="0" applyFont="1" applyFill="1" applyAlignment="1">
      <alignment horizontal="left"/>
    </xf>
    <xf numFmtId="0" fontId="0" fillId="3" borderId="7" xfId="0" applyFill="1" applyBorder="1" applyAlignment="1">
      <alignment horizontal="center"/>
    </xf>
    <xf numFmtId="0" fontId="0" fillId="0" borderId="7" xfId="0" applyBorder="1" applyAlignment="1">
      <alignment horizontal="left" indent="3"/>
    </xf>
    <xf numFmtId="0" fontId="0" fillId="0" borderId="6" xfId="0" applyBorder="1" applyAlignment="1">
      <alignment horizontal="center"/>
    </xf>
    <xf numFmtId="0" fontId="0" fillId="3" borderId="10" xfId="0" applyFill="1" applyBorder="1" applyAlignment="1">
      <alignment horizontal="center"/>
    </xf>
    <xf numFmtId="0" fontId="0" fillId="3" borderId="6" xfId="0" applyFill="1" applyBorder="1" applyAlignment="1">
      <alignment horizontal="center"/>
    </xf>
    <xf numFmtId="0" fontId="0" fillId="3" borderId="9" xfId="0" applyFill="1" applyBorder="1" applyAlignment="1">
      <alignment horizontal="center"/>
    </xf>
    <xf numFmtId="0" fontId="2" fillId="3" borderId="9" xfId="0" applyFont="1" applyFill="1" applyBorder="1" applyAlignment="1">
      <alignment horizontal="center"/>
    </xf>
    <xf numFmtId="2" fontId="0" fillId="3" borderId="6" xfId="0" applyNumberFormat="1" applyFill="1" applyBorder="1" applyAlignment="1">
      <alignment horizontal="center"/>
    </xf>
    <xf numFmtId="165" fontId="0" fillId="3" borderId="6" xfId="0" applyNumberFormat="1" applyFill="1" applyBorder="1" applyAlignment="1">
      <alignment horizontal="center"/>
    </xf>
    <xf numFmtId="0" fontId="0" fillId="0" borderId="9" xfId="0" applyBorder="1" applyAlignment="1">
      <alignment horizontal="center"/>
    </xf>
    <xf numFmtId="10" fontId="0" fillId="3" borderId="6" xfId="0" applyNumberFormat="1" applyFill="1" applyBorder="1" applyAlignment="1">
      <alignment horizontal="center"/>
    </xf>
    <xf numFmtId="166" fontId="0" fillId="3" borderId="6" xfId="0" applyNumberFormat="1" applyFill="1" applyBorder="1" applyAlignment="1">
      <alignment horizontal="center"/>
    </xf>
    <xf numFmtId="1" fontId="0" fillId="0" borderId="7" xfId="0" applyNumberFormat="1" applyBorder="1" applyAlignment="1">
      <alignment horizontal="center"/>
    </xf>
    <xf numFmtId="1" fontId="0" fillId="0" borderId="6" xfId="0" applyNumberFormat="1" applyBorder="1" applyAlignment="1">
      <alignment horizontal="center"/>
    </xf>
    <xf numFmtId="10" fontId="0" fillId="0" borderId="6" xfId="0" applyNumberFormat="1" applyBorder="1" applyAlignment="1">
      <alignment horizontal="center"/>
    </xf>
    <xf numFmtId="2" fontId="0" fillId="0" borderId="6" xfId="0" applyNumberFormat="1" applyBorder="1" applyAlignment="1">
      <alignment horizontal="center"/>
    </xf>
    <xf numFmtId="10" fontId="0" fillId="2" borderId="6" xfId="0" applyNumberFormat="1" applyFill="1" applyBorder="1" applyAlignment="1">
      <alignment horizontal="center"/>
    </xf>
    <xf numFmtId="0" fontId="0" fillId="3" borderId="0" xfId="0" applyFill="1"/>
    <xf numFmtId="0" fontId="0" fillId="3" borderId="11" xfId="0" applyFill="1" applyBorder="1"/>
    <xf numFmtId="0" fontId="1" fillId="3" borderId="12" xfId="0" applyFont="1" applyFill="1" applyBorder="1"/>
    <xf numFmtId="0" fontId="0" fillId="3" borderId="12" xfId="0" applyFill="1" applyBorder="1"/>
    <xf numFmtId="0" fontId="1" fillId="3" borderId="13" xfId="0" applyFont="1" applyFill="1" applyBorder="1" applyAlignment="1">
      <alignment horizontal="center"/>
    </xf>
    <xf numFmtId="0" fontId="0" fillId="3" borderId="14" xfId="0" applyFill="1" applyBorder="1"/>
    <xf numFmtId="0" fontId="0" fillId="0" borderId="15" xfId="0" applyBorder="1" applyAlignment="1">
      <alignment horizontal="center"/>
    </xf>
    <xf numFmtId="0" fontId="0" fillId="3" borderId="16" xfId="0"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0" fillId="3" borderId="19" xfId="0" applyFill="1" applyBorder="1" applyAlignment="1">
      <alignment horizontal="center"/>
    </xf>
    <xf numFmtId="0" fontId="0" fillId="0" borderId="20" xfId="0" applyBorder="1" applyAlignment="1">
      <alignment horizontal="center"/>
    </xf>
    <xf numFmtId="0" fontId="0" fillId="3" borderId="21" xfId="0" applyFill="1" applyBorder="1" applyAlignment="1">
      <alignment horizontal="center"/>
    </xf>
    <xf numFmtId="0" fontId="0" fillId="3" borderId="22" xfId="0" applyFill="1" applyBorder="1" applyAlignment="1">
      <alignment horizontal="center"/>
    </xf>
    <xf numFmtId="0" fontId="0" fillId="3" borderId="5" xfId="0" applyFill="1" applyBorder="1" applyAlignment="1">
      <alignment horizontal="center"/>
    </xf>
    <xf numFmtId="0" fontId="0" fillId="3" borderId="4" xfId="0" applyFill="1" applyBorder="1" applyAlignment="1">
      <alignment horizontal="center"/>
    </xf>
    <xf numFmtId="0" fontId="0" fillId="3" borderId="23" xfId="0" applyFill="1" applyBorder="1" applyAlignment="1">
      <alignment horizontal="center"/>
    </xf>
    <xf numFmtId="0" fontId="0" fillId="3" borderId="24" xfId="0" applyFill="1" applyBorder="1" applyAlignment="1">
      <alignment horizontal="center"/>
    </xf>
    <xf numFmtId="10" fontId="0" fillId="3" borderId="8" xfId="0" applyNumberFormat="1" applyFill="1" applyBorder="1" applyAlignment="1">
      <alignment horizontal="center"/>
    </xf>
    <xf numFmtId="10" fontId="0" fillId="3" borderId="7" xfId="0" applyNumberFormat="1" applyFill="1" applyBorder="1" applyAlignment="1">
      <alignment horizontal="center"/>
    </xf>
    <xf numFmtId="10" fontId="0" fillId="3" borderId="25" xfId="0" applyNumberFormat="1" applyFill="1" applyBorder="1" applyAlignment="1">
      <alignment horizontal="center"/>
    </xf>
    <xf numFmtId="10" fontId="0" fillId="3" borderId="22" xfId="0" applyNumberFormat="1" applyFill="1" applyBorder="1" applyAlignment="1">
      <alignment horizontal="center"/>
    </xf>
    <xf numFmtId="10" fontId="0" fillId="3" borderId="26" xfId="0" applyNumberFormat="1" applyFill="1" applyBorder="1" applyAlignment="1">
      <alignment horizontal="center"/>
    </xf>
    <xf numFmtId="0" fontId="0" fillId="3" borderId="27" xfId="0" applyFill="1" applyBorder="1"/>
    <xf numFmtId="0" fontId="0" fillId="3" borderId="28" xfId="0" applyFill="1" applyBorder="1"/>
    <xf numFmtId="0" fontId="0" fillId="3" borderId="22" xfId="0" applyFill="1" applyBorder="1"/>
    <xf numFmtId="0" fontId="0" fillId="3" borderId="29" xfId="0" applyFill="1" applyBorder="1"/>
    <xf numFmtId="1" fontId="0" fillId="3" borderId="8" xfId="0" applyNumberFormat="1" applyFill="1" applyBorder="1" applyAlignment="1">
      <alignment horizontal="center"/>
    </xf>
    <xf numFmtId="1" fontId="0" fillId="3" borderId="6" xfId="0" applyNumberFormat="1" applyFill="1" applyBorder="1" applyAlignment="1">
      <alignment horizontal="center"/>
    </xf>
    <xf numFmtId="1" fontId="0" fillId="3" borderId="7" xfId="0" applyNumberFormat="1" applyFill="1" applyBorder="1" applyAlignment="1">
      <alignment horizontal="center"/>
    </xf>
    <xf numFmtId="1" fontId="0" fillId="3" borderId="25" xfId="0" applyNumberFormat="1" applyFill="1" applyBorder="1" applyAlignment="1">
      <alignment horizontal="center"/>
    </xf>
    <xf numFmtId="1" fontId="0" fillId="3" borderId="26" xfId="0" applyNumberFormat="1" applyFill="1" applyBorder="1" applyAlignment="1">
      <alignment horizontal="center"/>
    </xf>
    <xf numFmtId="166" fontId="0" fillId="3" borderId="25" xfId="0" applyNumberFormat="1" applyFill="1" applyBorder="1" applyAlignment="1">
      <alignment horizontal="center"/>
    </xf>
    <xf numFmtId="166" fontId="0" fillId="3" borderId="7" xfId="0" applyNumberFormat="1" applyFill="1" applyBorder="1" applyAlignment="1">
      <alignment horizontal="center"/>
    </xf>
    <xf numFmtId="0" fontId="0" fillId="3" borderId="25" xfId="0" applyFill="1" applyBorder="1" applyAlignment="1">
      <alignment horizontal="center"/>
    </xf>
    <xf numFmtId="0" fontId="0" fillId="3" borderId="26" xfId="0" applyFill="1"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3" borderId="33" xfId="0" applyFill="1" applyBorder="1" applyAlignment="1">
      <alignment horizontal="center"/>
    </xf>
    <xf numFmtId="10" fontId="0" fillId="3" borderId="34" xfId="0" applyNumberFormat="1" applyFill="1" applyBorder="1" applyAlignment="1">
      <alignment horizontal="center"/>
    </xf>
    <xf numFmtId="10" fontId="0" fillId="3" borderId="32" xfId="0" applyNumberFormat="1" applyFill="1" applyBorder="1" applyAlignment="1">
      <alignment horizontal="center"/>
    </xf>
    <xf numFmtId="10" fontId="0" fillId="3" borderId="33" xfId="0" applyNumberFormat="1" applyFill="1" applyBorder="1" applyAlignment="1">
      <alignment horizontal="center"/>
    </xf>
    <xf numFmtId="10" fontId="0" fillId="3" borderId="30" xfId="0" applyNumberFormat="1" applyFill="1" applyBorder="1" applyAlignment="1">
      <alignment horizontal="center"/>
    </xf>
    <xf numFmtId="10" fontId="0" fillId="3" borderId="35" xfId="0" applyNumberFormat="1" applyFill="1" applyBorder="1" applyAlignment="1">
      <alignment horizontal="center"/>
    </xf>
    <xf numFmtId="0" fontId="0" fillId="3" borderId="36" xfId="0" applyFill="1" applyBorder="1" applyAlignment="1">
      <alignment horizontal="center"/>
    </xf>
    <xf numFmtId="1" fontId="0" fillId="3" borderId="37" xfId="0" applyNumberFormat="1" applyFill="1" applyBorder="1" applyAlignment="1">
      <alignment horizontal="center"/>
    </xf>
    <xf numFmtId="1" fontId="0" fillId="3" borderId="38" xfId="0" applyNumberFormat="1" applyFill="1" applyBorder="1" applyAlignment="1">
      <alignment horizontal="center"/>
    </xf>
    <xf numFmtId="1" fontId="0" fillId="3" borderId="39" xfId="0" applyNumberFormat="1" applyFill="1" applyBorder="1" applyAlignment="1">
      <alignment horizontal="center"/>
    </xf>
    <xf numFmtId="1" fontId="0" fillId="3" borderId="40" xfId="0" applyNumberFormat="1" applyFill="1" applyBorder="1" applyAlignment="1">
      <alignment horizontal="center"/>
    </xf>
    <xf numFmtId="0" fontId="9" fillId="3" borderId="0" xfId="0" applyFont="1" applyFill="1" applyAlignment="1">
      <alignment horizontal="left" vertical="center"/>
    </xf>
    <xf numFmtId="0" fontId="9" fillId="3" borderId="0" xfId="0" applyFont="1" applyFill="1"/>
    <xf numFmtId="0" fontId="0" fillId="2" borderId="0" xfId="0" applyFill="1"/>
    <xf numFmtId="2" fontId="0" fillId="2" borderId="0" xfId="0" applyNumberFormat="1" applyFill="1"/>
    <xf numFmtId="0" fontId="0" fillId="4" borderId="0" xfId="0" applyFill="1"/>
    <xf numFmtId="0" fontId="0" fillId="3" borderId="0" xfId="0" applyFill="1" applyAlignment="1">
      <alignment horizontal="left"/>
    </xf>
    <xf numFmtId="0" fontId="0" fillId="3" borderId="0" xfId="0" applyFill="1" applyAlignment="1">
      <alignment horizontal="left" vertical="center"/>
    </xf>
    <xf numFmtId="10" fontId="0" fillId="0" borderId="0" xfId="0" applyNumberFormat="1"/>
    <xf numFmtId="0" fontId="12" fillId="3" borderId="1" xfId="0" applyFont="1" applyFill="1" applyBorder="1" applyAlignment="1">
      <alignment horizontal="left"/>
    </xf>
    <xf numFmtId="0" fontId="0" fillId="3" borderId="2" xfId="0" applyFill="1" applyBorder="1"/>
    <xf numFmtId="0" fontId="0" fillId="3" borderId="3" xfId="0" applyFill="1" applyBorder="1"/>
    <xf numFmtId="0" fontId="0" fillId="3" borderId="41" xfId="0" applyFill="1" applyBorder="1"/>
    <xf numFmtId="0" fontId="0" fillId="3" borderId="42" xfId="0" applyFill="1" applyBorder="1"/>
    <xf numFmtId="0" fontId="0" fillId="3" borderId="41" xfId="0" applyFill="1" applyBorder="1" applyAlignment="1">
      <alignment horizontal="left"/>
    </xf>
    <xf numFmtId="0" fontId="0" fillId="3" borderId="4" xfId="0" applyFill="1" applyBorder="1" applyAlignment="1">
      <alignment horizontal="left"/>
    </xf>
    <xf numFmtId="0" fontId="0" fillId="3" borderId="43" xfId="0" applyFill="1" applyBorder="1"/>
    <xf numFmtId="0" fontId="0" fillId="3" borderId="43" xfId="0" applyFill="1" applyBorder="1" applyAlignment="1">
      <alignment horizontal="center"/>
    </xf>
    <xf numFmtId="2" fontId="0" fillId="4" borderId="0" xfId="0" applyNumberFormat="1" applyFill="1"/>
    <xf numFmtId="0" fontId="15" fillId="6" borderId="0" xfId="1" applyFont="1" applyFill="1"/>
    <xf numFmtId="0" fontId="14" fillId="0" borderId="0" xfId="1"/>
    <xf numFmtId="0" fontId="16" fillId="0" borderId="0" xfId="1" applyFont="1"/>
    <xf numFmtId="0" fontId="17" fillId="7" borderId="0" xfId="1" applyFont="1" applyFill="1"/>
    <xf numFmtId="0" fontId="18" fillId="8" borderId="0" xfId="1" applyFont="1" applyFill="1"/>
    <xf numFmtId="0" fontId="17" fillId="0" borderId="0" xfId="1" applyFont="1"/>
    <xf numFmtId="0" fontId="18" fillId="0" borderId="0" xfId="1" applyFont="1"/>
    <xf numFmtId="0" fontId="14" fillId="0" borderId="28" xfId="1" applyBorder="1"/>
    <xf numFmtId="0" fontId="14" fillId="0" borderId="28" xfId="1" applyBorder="1" applyAlignment="1">
      <alignment horizontal="center"/>
    </xf>
    <xf numFmtId="0" fontId="17" fillId="7" borderId="0" xfId="1" applyFont="1" applyFill="1" applyAlignment="1" applyProtection="1">
      <alignment horizontal="center"/>
      <protection locked="0"/>
    </xf>
    <xf numFmtId="0" fontId="20" fillId="0" borderId="29" xfId="1" applyFont="1" applyBorder="1" applyAlignment="1">
      <alignment horizontal="center"/>
    </xf>
    <xf numFmtId="2" fontId="18" fillId="8" borderId="0" xfId="1" applyNumberFormat="1" applyFont="1" applyFill="1" applyAlignment="1">
      <alignment horizontal="center"/>
    </xf>
    <xf numFmtId="0" fontId="18" fillId="8" borderId="0" xfId="1" applyFont="1" applyFill="1" applyAlignment="1">
      <alignment horizontal="center"/>
    </xf>
    <xf numFmtId="0" fontId="14" fillId="9" borderId="0" xfId="1" applyFill="1"/>
    <xf numFmtId="0" fontId="14" fillId="0" borderId="46" xfId="1" applyBorder="1"/>
    <xf numFmtId="0" fontId="14" fillId="0" borderId="46" xfId="1" applyBorder="1" applyAlignment="1">
      <alignment horizontal="center"/>
    </xf>
    <xf numFmtId="0" fontId="17" fillId="7" borderId="47" xfId="1" applyFont="1" applyFill="1" applyBorder="1" applyAlignment="1" applyProtection="1">
      <alignment horizontal="center"/>
      <protection locked="0"/>
    </xf>
    <xf numFmtId="0" fontId="20" fillId="0" borderId="48" xfId="1" applyFont="1" applyBorder="1" applyAlignment="1">
      <alignment horizontal="center"/>
    </xf>
    <xf numFmtId="0" fontId="14" fillId="0" borderId="11" xfId="1" applyBorder="1"/>
    <xf numFmtId="0" fontId="14" fillId="0" borderId="11" xfId="1" applyBorder="1" applyAlignment="1">
      <alignment horizontal="center"/>
    </xf>
    <xf numFmtId="0" fontId="18" fillId="8" borderId="12" xfId="1" applyFont="1" applyFill="1" applyBorder="1" applyAlignment="1">
      <alignment horizontal="center"/>
    </xf>
    <xf numFmtId="0" fontId="20" fillId="0" borderId="14" xfId="1" applyFont="1" applyBorder="1" applyAlignment="1">
      <alignment horizontal="center"/>
    </xf>
    <xf numFmtId="0" fontId="19" fillId="9" borderId="0" xfId="1" applyFont="1" applyFill="1"/>
    <xf numFmtId="0" fontId="18" fillId="9" borderId="0" xfId="1" applyFont="1" applyFill="1" applyAlignment="1">
      <alignment horizontal="center"/>
    </xf>
    <xf numFmtId="0" fontId="18" fillId="8" borderId="47" xfId="1" applyFont="1" applyFill="1" applyBorder="1" applyAlignment="1">
      <alignment horizontal="center"/>
    </xf>
    <xf numFmtId="0" fontId="20" fillId="0" borderId="0" xfId="1" applyFont="1"/>
    <xf numFmtId="0" fontId="14" fillId="0" borderId="0" xfId="1" applyAlignment="1">
      <alignment horizontal="center"/>
    </xf>
    <xf numFmtId="1" fontId="18" fillId="8" borderId="0" xfId="1" applyNumberFormat="1" applyFont="1" applyFill="1" applyAlignment="1">
      <alignment horizontal="center"/>
    </xf>
    <xf numFmtId="10" fontId="18" fillId="8" borderId="0" xfId="1" applyNumberFormat="1" applyFont="1" applyFill="1" applyAlignment="1">
      <alignment horizontal="center"/>
    </xf>
    <xf numFmtId="1" fontId="18" fillId="8" borderId="47" xfId="1" applyNumberFormat="1" applyFont="1" applyFill="1" applyBorder="1" applyAlignment="1">
      <alignment horizontal="center"/>
    </xf>
    <xf numFmtId="0" fontId="21" fillId="0" borderId="0" xfId="1" applyFont="1"/>
    <xf numFmtId="0" fontId="22" fillId="0" borderId="0" xfId="1" applyFont="1"/>
    <xf numFmtId="0" fontId="15" fillId="10" borderId="0" xfId="1" applyFont="1" applyFill="1"/>
    <xf numFmtId="0" fontId="14" fillId="10" borderId="0" xfId="1" applyFill="1"/>
    <xf numFmtId="2" fontId="17" fillId="7" borderId="0" xfId="1" applyNumberFormat="1" applyFont="1" applyFill="1" applyAlignment="1" applyProtection="1">
      <alignment horizontal="center"/>
      <protection locked="0"/>
    </xf>
    <xf numFmtId="0" fontId="6" fillId="3" borderId="0" xfId="0" applyFont="1" applyFill="1"/>
    <xf numFmtId="0" fontId="4" fillId="3" borderId="0" xfId="0" applyFont="1" applyFill="1"/>
    <xf numFmtId="0" fontId="0" fillId="3" borderId="2" xfId="0" applyFill="1" applyBorder="1" applyAlignment="1">
      <alignment horizontal="center"/>
    </xf>
    <xf numFmtId="0" fontId="8" fillId="3" borderId="0" xfId="0" applyFont="1" applyFill="1"/>
    <xf numFmtId="0" fontId="13" fillId="3" borderId="0" xfId="0" applyFont="1" applyFill="1" applyAlignment="1">
      <alignment vertical="center" readingOrder="1"/>
    </xf>
    <xf numFmtId="0" fontId="0" fillId="3" borderId="0" xfId="0" applyFill="1" applyAlignment="1">
      <alignment vertical="center" readingOrder="1"/>
    </xf>
    <xf numFmtId="0" fontId="0" fillId="3" borderId="0" xfId="0" quotePrefix="1" applyFill="1" applyAlignment="1">
      <alignment horizontal="left" vertical="center"/>
    </xf>
    <xf numFmtId="0" fontId="13" fillId="3" borderId="0" xfId="0" applyFont="1" applyFill="1"/>
    <xf numFmtId="0" fontId="10" fillId="3" borderId="0" xfId="0" applyFont="1" applyFill="1"/>
    <xf numFmtId="0" fontId="0" fillId="3" borderId="0" xfId="0" quotePrefix="1" applyFill="1"/>
    <xf numFmtId="0" fontId="0" fillId="3" borderId="4" xfId="0" applyFill="1" applyBorder="1"/>
    <xf numFmtId="0" fontId="0" fillId="3" borderId="7" xfId="0" applyFill="1" applyBorder="1"/>
    <xf numFmtId="2" fontId="0" fillId="3" borderId="0" xfId="0" applyNumberFormat="1" applyFill="1"/>
    <xf numFmtId="0" fontId="0" fillId="3" borderId="2" xfId="0" applyFill="1" applyBorder="1" applyAlignment="1">
      <alignment horizontal="left"/>
    </xf>
    <xf numFmtId="1" fontId="0" fillId="3" borderId="0" xfId="0" applyNumberFormat="1" applyFill="1"/>
    <xf numFmtId="0" fontId="0" fillId="3" borderId="45" xfId="0" applyFill="1" applyBorder="1" applyAlignment="1">
      <alignment horizontal="center" vertical="center"/>
    </xf>
    <xf numFmtId="0" fontId="0" fillId="3" borderId="6" xfId="0" applyFill="1" applyBorder="1" applyAlignment="1">
      <alignment horizontal="center" vertical="center"/>
    </xf>
    <xf numFmtId="11" fontId="0" fillId="3" borderId="10" xfId="0" applyNumberFormat="1" applyFill="1" applyBorder="1" applyAlignment="1">
      <alignment horizontal="center"/>
    </xf>
    <xf numFmtId="11" fontId="0" fillId="3" borderId="44" xfId="0" applyNumberFormat="1" applyFill="1" applyBorder="1" applyAlignment="1">
      <alignment horizontal="center"/>
    </xf>
    <xf numFmtId="164" fontId="0" fillId="3" borderId="0" xfId="0" applyNumberFormat="1" applyFill="1"/>
    <xf numFmtId="11" fontId="0" fillId="3" borderId="9" xfId="0" applyNumberFormat="1" applyFill="1" applyBorder="1" applyAlignment="1">
      <alignment horizontal="center"/>
    </xf>
    <xf numFmtId="1" fontId="0" fillId="3" borderId="0" xfId="0" applyNumberFormat="1" applyFill="1" applyAlignment="1">
      <alignment horizontal="center"/>
    </xf>
    <xf numFmtId="0" fontId="0" fillId="3" borderId="44" xfId="0" applyFill="1" applyBorder="1" applyAlignment="1">
      <alignment horizontal="center" vertical="center"/>
    </xf>
    <xf numFmtId="0" fontId="0" fillId="3" borderId="9" xfId="0" applyFill="1" applyBorder="1" applyAlignment="1">
      <alignment horizontal="center" vertical="center"/>
    </xf>
    <xf numFmtId="0" fontId="0" fillId="3" borderId="0" xfId="0" applyFill="1" applyAlignment="1">
      <alignment horizontal="center" vertical="center"/>
    </xf>
    <xf numFmtId="11" fontId="0" fillId="3" borderId="0" xfId="0" applyNumberFormat="1" applyFill="1"/>
    <xf numFmtId="0" fontId="0" fillId="3" borderId="45" xfId="0" applyFill="1" applyBorder="1"/>
    <xf numFmtId="165" fontId="0" fillId="3" borderId="0" xfId="0" applyNumberFormat="1" applyFill="1"/>
    <xf numFmtId="0" fontId="1" fillId="3" borderId="0" xfId="0" applyFont="1" applyFill="1"/>
    <xf numFmtId="0" fontId="0" fillId="3" borderId="0" xfId="0" quotePrefix="1" applyFill="1" applyAlignment="1">
      <alignment horizontal="left" vertical="center" readingOrder="1"/>
    </xf>
    <xf numFmtId="0" fontId="0" fillId="3" borderId="8" xfId="0" applyFill="1" applyBorder="1" applyAlignment="1">
      <alignment horizontal="center" vertical="center"/>
    </xf>
    <xf numFmtId="11" fontId="0" fillId="3" borderId="10" xfId="0" applyNumberFormat="1" applyFill="1" applyBorder="1" applyAlignment="1">
      <alignment horizontal="center" vertical="center"/>
    </xf>
    <xf numFmtId="11" fontId="0" fillId="3" borderId="44" xfId="0" applyNumberFormat="1" applyFill="1" applyBorder="1" applyAlignment="1">
      <alignment horizontal="center" vertical="center"/>
    </xf>
    <xf numFmtId="11" fontId="0" fillId="3" borderId="9" xfId="0" applyNumberFormat="1" applyFill="1" applyBorder="1" applyAlignment="1">
      <alignment horizontal="center" vertical="center"/>
    </xf>
    <xf numFmtId="0" fontId="0" fillId="3" borderId="10" xfId="0" applyFill="1" applyBorder="1" applyAlignment="1">
      <alignment horizontal="center" vertical="center"/>
    </xf>
    <xf numFmtId="164" fontId="0" fillId="3" borderId="0" xfId="0" applyNumberFormat="1" applyFill="1" applyAlignment="1">
      <alignment horizontal="center" vertical="center"/>
    </xf>
    <xf numFmtId="164" fontId="0" fillId="3" borderId="43" xfId="0" applyNumberFormat="1" applyFill="1" applyBorder="1" applyAlignment="1">
      <alignment horizontal="center" vertical="center"/>
    </xf>
    <xf numFmtId="0" fontId="26" fillId="3" borderId="0" xfId="0" applyFont="1" applyFill="1"/>
    <xf numFmtId="11" fontId="0" fillId="3" borderId="41" xfId="0" applyNumberFormat="1" applyFill="1" applyBorder="1" applyAlignment="1">
      <alignment horizontal="center" vertical="center"/>
    </xf>
    <xf numFmtId="11" fontId="0" fillId="3" borderId="4" xfId="0" applyNumberFormat="1" applyFill="1" applyBorder="1" applyAlignment="1">
      <alignment horizontal="center" vertical="center"/>
    </xf>
    <xf numFmtId="0" fontId="0" fillId="3" borderId="1" xfId="0" applyFill="1" applyBorder="1" applyAlignment="1">
      <alignment horizontal="left" indent="1"/>
    </xf>
    <xf numFmtId="0" fontId="0" fillId="3" borderId="41" xfId="0" applyFill="1" applyBorder="1" applyAlignment="1">
      <alignment horizontal="left" indent="1"/>
    </xf>
    <xf numFmtId="0" fontId="0" fillId="3" borderId="4" xfId="0" applyFill="1" applyBorder="1" applyAlignment="1">
      <alignment horizontal="left" indent="1"/>
    </xf>
    <xf numFmtId="0" fontId="0" fillId="3" borderId="0" xfId="0" applyFill="1" applyAlignment="1">
      <alignment horizontal="left" indent="1"/>
    </xf>
    <xf numFmtId="0" fontId="0" fillId="3" borderId="7" xfId="0" applyFill="1" applyBorder="1" applyAlignment="1">
      <alignment horizontal="left" indent="1"/>
    </xf>
    <xf numFmtId="165" fontId="0" fillId="5" borderId="6" xfId="0" applyNumberFormat="1" applyFill="1" applyBorder="1" applyAlignment="1">
      <alignment horizontal="center"/>
    </xf>
    <xf numFmtId="165" fontId="0" fillId="0" borderId="6" xfId="0" applyNumberFormat="1" applyBorder="1" applyAlignment="1">
      <alignment horizontal="center"/>
    </xf>
    <xf numFmtId="11" fontId="0" fillId="3" borderId="2" xfId="0" applyNumberFormat="1" applyFill="1" applyBorder="1" applyAlignment="1">
      <alignment horizontal="center" vertical="center"/>
    </xf>
    <xf numFmtId="164" fontId="0" fillId="5" borderId="0" xfId="0" applyNumberFormat="1" applyFill="1" applyAlignment="1">
      <alignment horizontal="center" vertical="center"/>
    </xf>
    <xf numFmtId="2" fontId="0" fillId="3" borderId="0" xfId="0" applyNumberFormat="1" applyFill="1" applyAlignment="1">
      <alignment horizontal="center" vertical="center"/>
    </xf>
    <xf numFmtId="0" fontId="0" fillId="3" borderId="2" xfId="0" applyFill="1" applyBorder="1" applyAlignment="1">
      <alignment horizontal="left" indent="2"/>
    </xf>
    <xf numFmtId="0" fontId="0" fillId="3" borderId="42" xfId="0" applyFill="1" applyBorder="1" applyAlignment="1">
      <alignment horizontal="center"/>
    </xf>
    <xf numFmtId="11" fontId="0" fillId="3" borderId="42" xfId="0" applyNumberFormat="1" applyFill="1" applyBorder="1" applyAlignment="1">
      <alignment horizontal="center"/>
    </xf>
    <xf numFmtId="11" fontId="0" fillId="5" borderId="5" xfId="0" applyNumberFormat="1" applyFill="1" applyBorder="1" applyAlignment="1">
      <alignment horizontal="center"/>
    </xf>
    <xf numFmtId="167" fontId="0" fillId="3" borderId="0" xfId="0" applyNumberFormat="1" applyFill="1"/>
    <xf numFmtId="0" fontId="0" fillId="11" borderId="0" xfId="0" applyFill="1"/>
    <xf numFmtId="9" fontId="0" fillId="3" borderId="0" xfId="0" applyNumberFormat="1" applyFill="1"/>
    <xf numFmtId="2" fontId="0" fillId="0" borderId="0" xfId="0" applyNumberFormat="1"/>
    <xf numFmtId="168" fontId="0" fillId="3" borderId="0" xfId="0" applyNumberFormat="1" applyFill="1"/>
    <xf numFmtId="169" fontId="0" fillId="3" borderId="0" xfId="0" applyNumberFormat="1" applyFill="1"/>
    <xf numFmtId="0" fontId="0" fillId="3" borderId="1"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165" fontId="0" fillId="3" borderId="1" xfId="0" applyNumberFormat="1" applyFill="1" applyBorder="1" applyAlignment="1">
      <alignment horizontal="center"/>
    </xf>
    <xf numFmtId="165" fontId="0" fillId="3" borderId="3" xfId="0" applyNumberFormat="1" applyFill="1" applyBorder="1" applyAlignment="1">
      <alignment horizontal="center"/>
    </xf>
    <xf numFmtId="0" fontId="19" fillId="0" borderId="13" xfId="1" applyFont="1" applyBorder="1" applyAlignment="1">
      <alignment horizontal="center" vertical="center"/>
    </xf>
    <xf numFmtId="0" fontId="23" fillId="0" borderId="0" xfId="1" applyFont="1" applyAlignment="1">
      <alignment horizontal="center" vertical="center" wrapText="1"/>
    </xf>
    <xf numFmtId="0" fontId="19" fillId="0" borderId="13" xfId="1" applyFont="1" applyBorder="1" applyAlignment="1">
      <alignment horizontal="center"/>
    </xf>
    <xf numFmtId="0" fontId="14" fillId="0" borderId="28" xfId="1" applyBorder="1" applyAlignment="1">
      <alignment horizontal="center" vertical="center"/>
    </xf>
    <xf numFmtId="0" fontId="14" fillId="0" borderId="46" xfId="1" applyBorder="1" applyAlignment="1">
      <alignment horizontal="center" vertical="center"/>
    </xf>
  </cellXfs>
  <cellStyles count="2">
    <cellStyle name="Normal" xfId="0" builtinId="0"/>
    <cellStyle name="Normal 2" xfId="1" xr:uid="{DA94CC6C-72E7-47BE-A368-9DE88B7C8158}"/>
  </cellStyles>
  <dxfs count="0"/>
  <tableStyles count="0" defaultTableStyle="TableStyleMedium2" defaultPivotStyle="PivotStyleLight16"/>
  <colors>
    <mruColors>
      <color rgb="FFB5E6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10</xdr:col>
      <xdr:colOff>134149</xdr:colOff>
      <xdr:row>80</xdr:row>
      <xdr:rowOff>180975</xdr:rowOff>
    </xdr:to>
    <xdr:pic>
      <xdr:nvPicPr>
        <xdr:cNvPr id="2" name="Graphic 4">
          <a:extLst>
            <a:ext uri="{FF2B5EF4-FFF2-40B4-BE49-F238E27FC236}">
              <a16:creationId xmlns:a16="http://schemas.microsoft.com/office/drawing/2014/main" id="{917E6E7D-EACC-4E8A-BD35-03DC58B68B5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00050" y="17364075"/>
          <a:ext cx="7445375" cy="45212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213823</xdr:colOff>
      <xdr:row>11</xdr:row>
      <xdr:rowOff>13374</xdr:rowOff>
    </xdr:from>
    <xdr:ext cx="10144124" cy="2388949"/>
    <xdr:sp macro="" textlink="">
      <xdr:nvSpPr>
        <xdr:cNvPr id="2" name="TextBox 1">
          <a:extLst>
            <a:ext uri="{FF2B5EF4-FFF2-40B4-BE49-F238E27FC236}">
              <a16:creationId xmlns:a16="http://schemas.microsoft.com/office/drawing/2014/main" id="{C6352E37-73C7-6049-291F-AA7BAE91ECF8}"/>
            </a:ext>
          </a:extLst>
        </xdr:cNvPr>
        <xdr:cNvSpPr txBox="1"/>
      </xdr:nvSpPr>
      <xdr:spPr>
        <a:xfrm>
          <a:off x="213823" y="2188109"/>
          <a:ext cx="10144124" cy="2388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br>
            <a:rPr lang="en-US" sz="1200" b="0" i="0">
              <a:solidFill>
                <a:schemeClr val="tx1"/>
              </a:solidFill>
              <a:effectLst/>
              <a:latin typeface="+mn-lt"/>
              <a:ea typeface="+mn-ea"/>
              <a:cs typeface="+mn-cs"/>
            </a:rPr>
          </a:br>
          <a:br>
            <a:rPr lang="en-US" sz="1200" b="0" i="0">
              <a:solidFill>
                <a:schemeClr val="tx1"/>
              </a:solidFill>
              <a:effectLst/>
              <a:latin typeface="+mn-lt"/>
              <a:ea typeface="+mn-ea"/>
              <a:cs typeface="+mn-cs"/>
            </a:rPr>
          </a:br>
          <a:r>
            <a:rPr lang="en-US" sz="1200" b="0" i="0">
              <a:solidFill>
                <a:schemeClr val="tx1"/>
              </a:solidFill>
              <a:effectLst/>
              <a:latin typeface="+mn-lt"/>
              <a:ea typeface="+mn-ea"/>
              <a:cs typeface="+mn-cs"/>
            </a:rPr>
            <a:t>The Weymouth, Panhandle A, and Panhandle B equations were developed to simulate compressible gas flow in long pipelines. The Weymouth is the oldest and most common of the three. It was developed in 1912. The Panhandle A was developed in the 1940s and Panhandle B in 1956 (GPSA, 1998). The equations were developed from the fundamental energy equation for compressible flow, but each has a special representation of the friction factor to allow the equations to be solved analytically. The Weymouth equation is the most common of the three - probably because it has been around the longes. The Panhandle equations include</a:t>
          </a:r>
          <a:r>
            <a:rPr lang="en-US" sz="1200" b="0" i="0" baseline="0">
              <a:solidFill>
                <a:schemeClr val="tx1"/>
              </a:solidFill>
              <a:effectLst/>
              <a:latin typeface="+mn-lt"/>
              <a:ea typeface="+mn-ea"/>
              <a:cs typeface="+mn-cs"/>
            </a:rPr>
            <a:t> a pipeline efficiency factory which can be used to more closely model flow at lower flows and pressures</a:t>
          </a:r>
          <a:r>
            <a:rPr lang="en-US" sz="1200" b="1" i="0">
              <a:solidFill>
                <a:schemeClr val="tx1"/>
              </a:solidFill>
              <a:effectLst/>
              <a:latin typeface="+mn-lt"/>
              <a:ea typeface="+mn-ea"/>
              <a:cs typeface="+mn-cs"/>
            </a:rPr>
            <a:t>.   The equations were developed for turbulent flow in long pipelines.</a:t>
          </a:r>
          <a:r>
            <a:rPr lang="en-US" sz="1200" b="0" i="0">
              <a:solidFill>
                <a:schemeClr val="tx1"/>
              </a:solidFill>
              <a:effectLst/>
              <a:latin typeface="+mn-lt"/>
              <a:ea typeface="+mn-ea"/>
              <a:cs typeface="+mn-cs"/>
            </a:rPr>
            <a:t> For low flows, low pressures, or short pipes, they may not be applicable.</a:t>
          </a:r>
        </a:p>
        <a:p>
          <a:endParaRPr lang="en-US" sz="1200" b="0" i="0">
            <a:solidFill>
              <a:schemeClr val="tx1"/>
            </a:solidFill>
            <a:effectLst/>
            <a:latin typeface="+mn-lt"/>
            <a:ea typeface="+mn-ea"/>
            <a:cs typeface="+mn-cs"/>
          </a:endParaRPr>
        </a:p>
        <a:p>
          <a:r>
            <a:rPr lang="en-US" sz="1200" b="1" i="0">
              <a:solidFill>
                <a:schemeClr val="tx1"/>
              </a:solidFill>
              <a:effectLst/>
              <a:latin typeface="+mn-lt"/>
              <a:ea typeface="+mn-ea"/>
              <a:cs typeface="+mn-cs"/>
            </a:rPr>
            <a:t>If the pressure drop in a pipeline is less than 40% of inlet</a:t>
          </a:r>
          <a:r>
            <a:rPr lang="en-US" sz="1200" b="1" i="0" baseline="0">
              <a:solidFill>
                <a:schemeClr val="tx1"/>
              </a:solidFill>
              <a:effectLst/>
              <a:latin typeface="+mn-lt"/>
              <a:ea typeface="+mn-ea"/>
              <a:cs typeface="+mn-cs"/>
            </a:rPr>
            <a:t> pressure and at lower flows and shorter pipeline lengths</a:t>
          </a:r>
          <a:r>
            <a:rPr lang="en-US" sz="1200" b="1" i="0">
              <a:solidFill>
                <a:schemeClr val="tx1"/>
              </a:solidFill>
              <a:effectLst/>
              <a:latin typeface="+mn-lt"/>
              <a:ea typeface="+mn-ea"/>
              <a:cs typeface="+mn-cs"/>
            </a:rPr>
            <a:t>,</a:t>
          </a:r>
          <a:r>
            <a:rPr lang="en-US" sz="1200" b="1" i="0" baseline="0">
              <a:solidFill>
                <a:schemeClr val="tx1"/>
              </a:solidFill>
              <a:effectLst/>
              <a:latin typeface="+mn-lt"/>
              <a:ea typeface="+mn-ea"/>
              <a:cs typeface="+mn-cs"/>
            </a:rPr>
            <a:t> the</a:t>
          </a:r>
          <a:r>
            <a:rPr lang="en-US" sz="1200" b="1" i="0">
              <a:solidFill>
                <a:schemeClr val="tx1"/>
              </a:solidFill>
              <a:effectLst/>
              <a:latin typeface="+mn-lt"/>
              <a:ea typeface="+mn-ea"/>
              <a:cs typeface="+mn-cs"/>
            </a:rPr>
            <a:t> Darcy</a:t>
          </a:r>
          <a:r>
            <a:rPr lang="en-US" sz="1200" b="1" i="0" baseline="0">
              <a:solidFill>
                <a:schemeClr val="tx1"/>
              </a:solidFill>
              <a:effectLst/>
              <a:latin typeface="+mn-lt"/>
              <a:ea typeface="+mn-ea"/>
              <a:cs typeface="+mn-cs"/>
            </a:rPr>
            <a:t> Weisbach Correlation </a:t>
          </a:r>
          <a:r>
            <a:rPr lang="en-US" sz="1200" b="1" i="0">
              <a:solidFill>
                <a:schemeClr val="tx1"/>
              </a:solidFill>
              <a:effectLst/>
              <a:latin typeface="+mn-lt"/>
              <a:ea typeface="+mn-ea"/>
              <a:cs typeface="+mn-cs"/>
            </a:rPr>
            <a:t>may be more accurate </a:t>
          </a:r>
          <a:r>
            <a:rPr lang="en-US" sz="1200" b="0" i="0">
              <a:solidFill>
                <a:schemeClr val="tx1"/>
              </a:solidFill>
              <a:effectLst/>
              <a:latin typeface="+mn-lt"/>
              <a:ea typeface="+mn-ea"/>
              <a:cs typeface="+mn-cs"/>
            </a:rPr>
            <a:t>than the Weymouth or Panhandles. The Darcy-Weisbach method is valid for any flow rate, diameter, and pipe length, but does not account for gas compressibility</a:t>
          </a:r>
          <a:endParaRPr lang="en-US" sz="12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70</xdr:row>
      <xdr:rowOff>152400</xdr:rowOff>
    </xdr:to>
    <xdr:pic>
      <xdr:nvPicPr>
        <xdr:cNvPr id="3" name="Picture 2">
          <a:extLst>
            <a:ext uri="{FF2B5EF4-FFF2-40B4-BE49-F238E27FC236}">
              <a16:creationId xmlns:a16="http://schemas.microsoft.com/office/drawing/2014/main" id="{F0BD78CC-B2DD-6B9C-D1D6-5AA985A024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153525" cy="13487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7B1C9CAE9AD6CBAB/Field%20Compression%20Model%20041125%2050%20to%20750%20psig%20Delaware%20final.xlsm" TargetMode="External"/><Relationship Id="rId1" Type="http://schemas.openxmlformats.org/officeDocument/2006/relationships/externalLinkPath" Target="https://d.docs.live.net/7B1C9CAE9AD6CBAB/Field%20Compression%20Model%20041125%2050%20to%20750%20psig%20Delaware%20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Drawing"/>
      <sheetName val="Compositions"/>
      <sheetName val="Chart A - Weather"/>
      <sheetName val="Flash A"/>
      <sheetName val="Flash B"/>
      <sheetName val="PresDrop1to2"/>
      <sheetName val="PresDrop6to7"/>
      <sheetName val="Hp Est Tool"/>
      <sheetName val="HDP 1 and 2"/>
      <sheetName val="HDP 7"/>
      <sheetName val="HDP 8"/>
      <sheetName val="Prop Est Flash 1"/>
      <sheetName val="Prop Est 2"/>
      <sheetName val="Prop Est Flash 2"/>
      <sheetName val="water content 1"/>
      <sheetName val="water content 2"/>
      <sheetName val="water content 6"/>
      <sheetName val="water content 7"/>
      <sheetName val="Dropout Chart"/>
    </sheetNames>
    <sheetDataSet>
      <sheetData sheetId="0"/>
      <sheetData sheetId="1"/>
      <sheetData sheetId="2"/>
      <sheetData sheetId="3"/>
      <sheetData sheetId="4">
        <row r="25">
          <cell r="F25">
            <v>0.99991982721071726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hyperlink" Target="mailto:admin@powderproces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D1E43-9F8E-459B-AF3C-C5A0BD4106E2}">
  <sheetPr codeName="Sheet15">
    <tabColor theme="5" tint="0.39997558519241921"/>
  </sheetPr>
  <dimension ref="A1:P277"/>
  <sheetViews>
    <sheetView zoomScale="109" zoomScaleNormal="100" workbookViewId="0"/>
  </sheetViews>
  <sheetFormatPr defaultRowHeight="15"/>
  <cols>
    <col min="1" max="1" width="4.5703125" style="24" customWidth="1"/>
    <col min="2" max="2" width="10.5703125" style="24" bestFit="1" customWidth="1"/>
    <col min="3" max="4" width="10.140625" style="24" customWidth="1"/>
    <col min="5" max="5" width="11.42578125" customWidth="1"/>
    <col min="6" max="6" width="10" style="24" customWidth="1"/>
    <col min="7" max="7" width="19.140625" customWidth="1"/>
    <col min="8" max="8" width="13.7109375" customWidth="1"/>
    <col min="9" max="9" width="9.140625" customWidth="1"/>
    <col min="10" max="10" width="11.5703125" customWidth="1"/>
    <col min="11" max="11" width="12" bestFit="1" customWidth="1"/>
    <col min="12" max="12" width="11" customWidth="1"/>
    <col min="13" max="13" width="12" bestFit="1" customWidth="1"/>
    <col min="15" max="16" width="12" bestFit="1" customWidth="1"/>
    <col min="17" max="17" width="14.7109375" customWidth="1"/>
    <col min="18" max="18" width="13.7109375" customWidth="1"/>
    <col min="19" max="20" width="12" bestFit="1" customWidth="1"/>
  </cols>
  <sheetData>
    <row r="1" spans="2:16" ht="18.75">
      <c r="B1" s="127" t="s">
        <v>130</v>
      </c>
      <c r="G1" s="24"/>
      <c r="H1" s="24"/>
      <c r="I1" s="24"/>
      <c r="J1" s="24"/>
      <c r="K1" s="24"/>
      <c r="L1" s="24"/>
      <c r="M1" s="24"/>
      <c r="N1" s="24"/>
      <c r="O1" s="24"/>
    </row>
    <row r="2" spans="2:16">
      <c r="B2" s="128" t="s">
        <v>87</v>
      </c>
      <c r="E2" s="24"/>
      <c r="G2" s="24"/>
      <c r="H2" s="24"/>
      <c r="I2" s="24"/>
      <c r="J2" s="24"/>
      <c r="K2" s="24"/>
      <c r="L2" s="24"/>
      <c r="M2" s="24"/>
      <c r="N2" s="24"/>
      <c r="O2" s="24"/>
      <c r="P2" s="24"/>
    </row>
    <row r="3" spans="2:16">
      <c r="B3" s="128"/>
      <c r="E3" s="76" t="s">
        <v>92</v>
      </c>
      <c r="G3" s="24"/>
      <c r="H3" s="24"/>
      <c r="I3" s="24"/>
      <c r="J3" s="24"/>
      <c r="K3" s="24"/>
      <c r="L3" s="24"/>
      <c r="M3" s="24"/>
      <c r="N3" s="24"/>
      <c r="O3" s="24"/>
      <c r="P3" s="24"/>
    </row>
    <row r="4" spans="2:16">
      <c r="B4" s="128"/>
      <c r="E4" s="78" t="s">
        <v>91</v>
      </c>
      <c r="G4" s="24"/>
      <c r="H4" s="24"/>
      <c r="I4" s="24"/>
      <c r="J4" s="24"/>
      <c r="K4" s="24"/>
      <c r="L4" s="24"/>
      <c r="M4" s="24"/>
      <c r="N4" s="24"/>
      <c r="O4" s="24"/>
      <c r="P4" s="24"/>
    </row>
    <row r="5" spans="2:16">
      <c r="E5" s="24"/>
      <c r="G5" s="24"/>
      <c r="H5" s="24"/>
      <c r="I5" s="24"/>
      <c r="J5" s="24"/>
      <c r="K5" s="24"/>
      <c r="L5" s="24"/>
      <c r="M5" s="24"/>
      <c r="N5" s="24"/>
      <c r="O5" s="24"/>
      <c r="P5" s="24"/>
    </row>
    <row r="6" spans="2:16">
      <c r="B6" s="24" t="s">
        <v>228</v>
      </c>
      <c r="E6" s="76">
        <v>3</v>
      </c>
      <c r="G6" s="24"/>
      <c r="H6" s="24"/>
      <c r="I6" s="24"/>
      <c r="J6" s="24"/>
      <c r="K6" s="24"/>
      <c r="L6" s="24"/>
      <c r="M6" s="24"/>
      <c r="N6" s="24"/>
      <c r="O6" s="24"/>
      <c r="P6" s="24"/>
    </row>
    <row r="7" spans="2:16" hidden="1">
      <c r="B7" s="24" t="s">
        <v>281</v>
      </c>
      <c r="E7" s="141">
        <f>E6*14.7/E9*(460+E8)/(460+60)*1000</f>
        <v>633.23076923076917</v>
      </c>
      <c r="G7" s="24" t="s">
        <v>280</v>
      </c>
      <c r="H7" s="24"/>
      <c r="I7" s="24"/>
      <c r="J7" s="24"/>
      <c r="K7" s="24"/>
      <c r="L7" s="24"/>
      <c r="M7" s="24"/>
      <c r="N7" s="24"/>
      <c r="O7" s="24"/>
      <c r="P7" s="24"/>
    </row>
    <row r="8" spans="2:16">
      <c r="B8" s="24" t="s">
        <v>230</v>
      </c>
      <c r="E8" s="76">
        <v>100</v>
      </c>
      <c r="G8" s="24"/>
      <c r="H8" s="24"/>
      <c r="I8" s="24"/>
      <c r="J8" s="24"/>
      <c r="K8" s="24"/>
      <c r="L8" s="24"/>
      <c r="M8" s="24"/>
      <c r="N8" s="24"/>
      <c r="O8" s="24"/>
      <c r="P8" s="24"/>
    </row>
    <row r="9" spans="2:16">
      <c r="B9" s="24" t="s">
        <v>232</v>
      </c>
      <c r="E9" s="182">
        <v>75</v>
      </c>
      <c r="G9" s="24"/>
      <c r="H9" s="24"/>
      <c r="I9" s="24"/>
      <c r="J9" s="24"/>
      <c r="K9" s="24"/>
      <c r="L9" s="24"/>
      <c r="M9" s="24"/>
      <c r="N9" s="24"/>
      <c r="O9" s="24"/>
      <c r="P9" s="24"/>
    </row>
    <row r="10" spans="2:16">
      <c r="B10" s="24" t="s">
        <v>89</v>
      </c>
      <c r="E10" s="76">
        <v>20000</v>
      </c>
      <c r="G10" s="24"/>
      <c r="H10" s="24"/>
      <c r="I10" s="24"/>
      <c r="J10" s="24"/>
      <c r="K10" s="24"/>
      <c r="L10" s="24"/>
      <c r="M10" s="24"/>
      <c r="N10" s="24"/>
      <c r="O10" s="24"/>
      <c r="P10" s="24" t="s">
        <v>0</v>
      </c>
    </row>
    <row r="11" spans="2:16">
      <c r="B11" s="24" t="s">
        <v>283</v>
      </c>
      <c r="E11" s="76">
        <v>6</v>
      </c>
      <c r="G11" s="24"/>
      <c r="H11" s="24"/>
      <c r="I11" s="24"/>
      <c r="J11" s="24"/>
      <c r="K11" s="24"/>
      <c r="L11" s="24"/>
      <c r="M11" s="24"/>
      <c r="N11" s="24"/>
      <c r="O11" s="24"/>
      <c r="P11" s="24"/>
    </row>
    <row r="12" spans="2:16" hidden="1">
      <c r="B12" s="24" t="s">
        <v>124</v>
      </c>
      <c r="E12" s="77">
        <f>E11/12</f>
        <v>0.5</v>
      </c>
      <c r="G12" s="24"/>
      <c r="H12" s="24"/>
      <c r="I12" s="24"/>
      <c r="J12" s="24"/>
      <c r="K12" s="24"/>
      <c r="L12" s="24"/>
      <c r="M12" s="24"/>
      <c r="N12" s="24"/>
      <c r="O12" s="24"/>
      <c r="P12" s="24"/>
    </row>
    <row r="13" spans="2:16">
      <c r="B13" s="24" t="s">
        <v>233</v>
      </c>
      <c r="E13" s="77">
        <v>0.92</v>
      </c>
      <c r="G13" s="24"/>
      <c r="H13" s="24" t="s">
        <v>0</v>
      </c>
      <c r="I13" s="24"/>
      <c r="J13" s="24"/>
      <c r="K13" s="24"/>
      <c r="L13" s="24"/>
      <c r="M13" s="24"/>
      <c r="N13" s="24"/>
      <c r="O13" s="24"/>
      <c r="P13" s="24"/>
    </row>
    <row r="14" spans="2:16">
      <c r="B14" s="24" t="s">
        <v>103</v>
      </c>
      <c r="E14" s="146">
        <f>1/Properties!P24</f>
        <v>5.8395077481383457E-2</v>
      </c>
      <c r="F14" s="170" t="s">
        <v>266</v>
      </c>
      <c r="G14" s="24"/>
      <c r="H14" s="24"/>
      <c r="I14" s="24"/>
      <c r="J14" s="24"/>
      <c r="K14" s="24"/>
      <c r="L14" s="24"/>
      <c r="M14" s="24"/>
      <c r="N14" s="24"/>
      <c r="O14" s="24"/>
      <c r="P14" s="24"/>
    </row>
    <row r="15" spans="2:16">
      <c r="B15" s="24" t="s">
        <v>234</v>
      </c>
      <c r="E15" s="181">
        <f>Properties!E34</f>
        <v>1.0618279569892475E-5</v>
      </c>
      <c r="F15" s="170" t="s">
        <v>267</v>
      </c>
      <c r="G15" s="24"/>
      <c r="H15" s="24"/>
      <c r="I15" s="24"/>
      <c r="J15" s="24"/>
      <c r="K15" s="24"/>
      <c r="L15" s="24"/>
      <c r="M15" s="24"/>
      <c r="N15" s="24"/>
      <c r="O15" s="24"/>
      <c r="P15" s="24"/>
    </row>
    <row r="16" spans="2:16">
      <c r="B16" s="24" t="s">
        <v>250</v>
      </c>
      <c r="E16" s="146">
        <f>I87</f>
        <v>1.4923897295808928E-2</v>
      </c>
      <c r="F16" s="170" t="s">
        <v>268</v>
      </c>
      <c r="G16" s="24"/>
      <c r="H16" s="24"/>
      <c r="I16" s="24"/>
      <c r="J16" s="24"/>
      <c r="K16" s="24"/>
      <c r="L16" s="24"/>
      <c r="M16" s="24"/>
      <c r="N16" s="24"/>
      <c r="O16" s="24"/>
      <c r="P16" s="24"/>
    </row>
    <row r="17" spans="2:16">
      <c r="B17" s="24" t="s">
        <v>1</v>
      </c>
      <c r="E17" s="139">
        <f>E7*1000/(60*60*24*3.14*(E12/2)^2)</f>
        <v>37.34552779138766</v>
      </c>
      <c r="G17" s="24"/>
      <c r="H17" s="24"/>
      <c r="I17" s="24"/>
      <c r="J17" s="24"/>
      <c r="K17" s="24"/>
      <c r="L17" s="24"/>
      <c r="M17" s="24"/>
      <c r="N17" s="24"/>
      <c r="O17" s="24"/>
      <c r="P17" s="24"/>
    </row>
    <row r="18" spans="2:16">
      <c r="B18" s="24" t="s">
        <v>88</v>
      </c>
      <c r="E18" s="152">
        <f>E17*E10*E14/E15</f>
        <v>4107623979.2080083</v>
      </c>
      <c r="G18" s="24"/>
      <c r="H18" s="24"/>
      <c r="I18" s="24"/>
      <c r="J18" s="24"/>
      <c r="K18" s="24"/>
      <c r="L18" s="24"/>
      <c r="M18" s="24"/>
      <c r="N18" s="24"/>
      <c r="O18" s="24"/>
      <c r="P18" s="24"/>
    </row>
    <row r="19" spans="2:16">
      <c r="B19" s="24" t="s">
        <v>108</v>
      </c>
      <c r="E19" s="91">
        <f>E16*(E10/E12)*(E14*E17^2)/9265*E9/14.7</f>
        <v>26.772824433678906</v>
      </c>
      <c r="G19" s="24"/>
      <c r="H19" s="24"/>
      <c r="I19" s="24"/>
      <c r="J19" s="24"/>
      <c r="K19" s="24"/>
      <c r="L19" s="24"/>
      <c r="M19" s="24"/>
      <c r="N19" s="24"/>
      <c r="O19" s="24"/>
      <c r="P19" s="24"/>
    </row>
    <row r="20" spans="2:16" ht="16.5">
      <c r="B20" s="24" t="s">
        <v>127</v>
      </c>
      <c r="E20" s="81">
        <f>E19/E9</f>
        <v>0.35697099244905206</v>
      </c>
      <c r="G20" s="24"/>
      <c r="H20" s="24"/>
      <c r="I20" s="24"/>
      <c r="J20" s="24"/>
      <c r="K20" s="24"/>
      <c r="L20" s="24"/>
      <c r="M20" s="24"/>
      <c r="N20" s="24"/>
      <c r="O20" s="24"/>
      <c r="P20" s="24"/>
    </row>
    <row r="21" spans="2:16">
      <c r="B21" s="24" t="s">
        <v>109</v>
      </c>
      <c r="E21" s="91">
        <f>E9-C104</f>
        <v>39.163185811549873</v>
      </c>
      <c r="G21" s="24"/>
      <c r="H21" s="24"/>
      <c r="I21" s="24"/>
      <c r="J21" s="24"/>
      <c r="K21" s="24"/>
      <c r="L21" s="24"/>
      <c r="M21" s="24"/>
      <c r="N21" s="24"/>
      <c r="O21" s="24"/>
      <c r="P21" s="24"/>
    </row>
    <row r="22" spans="2:16">
      <c r="B22" s="24" t="s">
        <v>125</v>
      </c>
      <c r="E22" s="91">
        <f>E9-C109</f>
        <v>27.932363712711876</v>
      </c>
      <c r="G22" s="24"/>
      <c r="H22" s="141"/>
      <c r="I22" s="24"/>
      <c r="J22" s="24"/>
      <c r="K22" s="24"/>
      <c r="L22" s="24"/>
      <c r="M22" s="24"/>
      <c r="N22" s="24"/>
      <c r="O22" s="24"/>
      <c r="P22" s="24"/>
    </row>
    <row r="23" spans="2:16">
      <c r="B23" s="24" t="s">
        <v>126</v>
      </c>
      <c r="E23" s="91">
        <f>E9-C114</f>
        <v>20.071894899035001</v>
      </c>
      <c r="G23" s="24"/>
      <c r="H23" s="141"/>
      <c r="I23" s="24"/>
      <c r="J23" s="24"/>
      <c r="K23" s="24"/>
      <c r="L23" s="24"/>
      <c r="M23" s="24"/>
      <c r="N23" s="24"/>
      <c r="O23" s="24"/>
      <c r="P23" s="24"/>
    </row>
    <row r="24" spans="2:16" s="24" customFormat="1" ht="7.5" customHeight="1">
      <c r="F24" s="139"/>
      <c r="H24" s="141"/>
    </row>
    <row r="25" spans="2:16" s="24" customFormat="1" ht="18.75" customHeight="1">
      <c r="B25" s="130" t="s">
        <v>282</v>
      </c>
      <c r="E25" s="154"/>
      <c r="H25" s="141"/>
    </row>
    <row r="26" spans="2:16" s="24" customFormat="1" ht="18" customHeight="1">
      <c r="B26" s="130" t="s">
        <v>141</v>
      </c>
      <c r="F26" s="139"/>
    </row>
    <row r="27" spans="2:16" s="24" customFormat="1">
      <c r="F27" s="139"/>
    </row>
    <row r="28" spans="2:16" s="24" customFormat="1" ht="15.75">
      <c r="B28" s="131" t="s">
        <v>2</v>
      </c>
    </row>
    <row r="29" spans="2:16" s="24" customFormat="1" ht="9.75" customHeight="1"/>
    <row r="30" spans="2:16" s="24" customFormat="1">
      <c r="B30" s="132" t="s">
        <v>3</v>
      </c>
    </row>
    <row r="31" spans="2:16" s="24" customFormat="1" ht="16.5">
      <c r="B31" s="132" t="s">
        <v>240</v>
      </c>
    </row>
    <row r="32" spans="2:16" s="24" customFormat="1" ht="9" customHeight="1"/>
    <row r="33" spans="2:2" s="24" customFormat="1">
      <c r="B33" s="132" t="s">
        <v>4</v>
      </c>
    </row>
    <row r="34" spans="2:2" s="24" customFormat="1">
      <c r="B34" s="156" t="s">
        <v>239</v>
      </c>
    </row>
    <row r="35" spans="2:2" s="24" customFormat="1">
      <c r="B35" s="80" t="s">
        <v>235</v>
      </c>
    </row>
    <row r="36" spans="2:2" s="24" customFormat="1">
      <c r="B36" s="80" t="s">
        <v>236</v>
      </c>
    </row>
    <row r="37" spans="2:2" s="24" customFormat="1">
      <c r="B37" s="80" t="s">
        <v>237</v>
      </c>
    </row>
    <row r="38" spans="2:2" s="24" customFormat="1">
      <c r="B38" s="133" t="s">
        <v>241</v>
      </c>
    </row>
    <row r="39" spans="2:2" s="24" customFormat="1">
      <c r="B39" s="156" t="s">
        <v>238</v>
      </c>
    </row>
    <row r="40" spans="2:2" s="24" customFormat="1"/>
    <row r="41" spans="2:2" s="24" customFormat="1" ht="15.75">
      <c r="B41" s="134" t="s">
        <v>128</v>
      </c>
    </row>
    <row r="42" spans="2:2" s="24" customFormat="1" ht="9" customHeight="1">
      <c r="B42" s="135"/>
    </row>
    <row r="43" spans="2:2" s="24" customFormat="1">
      <c r="B43" s="24" t="s">
        <v>242</v>
      </c>
    </row>
    <row r="44" spans="2:2" s="24" customFormat="1">
      <c r="B44" s="136" t="s">
        <v>245</v>
      </c>
    </row>
    <row r="45" spans="2:2" s="24" customFormat="1">
      <c r="B45" s="136" t="s">
        <v>246</v>
      </c>
    </row>
    <row r="46" spans="2:2" s="24" customFormat="1" ht="8.25" customHeight="1"/>
    <row r="47" spans="2:2" s="24" customFormat="1">
      <c r="B47" s="132" t="s">
        <v>4</v>
      </c>
    </row>
    <row r="48" spans="2:2" s="24" customFormat="1">
      <c r="B48" s="24" t="s">
        <v>5</v>
      </c>
    </row>
    <row r="49" spans="2:2" s="24" customFormat="1">
      <c r="B49" s="24" t="s">
        <v>243</v>
      </c>
    </row>
    <row r="50" spans="2:2" s="24" customFormat="1">
      <c r="B50" s="24" t="s">
        <v>244</v>
      </c>
    </row>
    <row r="51" spans="2:2" s="24" customFormat="1">
      <c r="B51" s="24" t="s">
        <v>247</v>
      </c>
    </row>
    <row r="52" spans="2:2" s="24" customFormat="1">
      <c r="B52" s="24" t="s">
        <v>248</v>
      </c>
    </row>
    <row r="53" spans="2:2" s="24" customFormat="1">
      <c r="B53" s="24" t="s">
        <v>249</v>
      </c>
    </row>
    <row r="54" spans="2:2" s="24" customFormat="1"/>
    <row r="55" spans="2:2" s="24" customFormat="1" ht="15.75">
      <c r="B55" s="134" t="s">
        <v>137</v>
      </c>
    </row>
    <row r="56" spans="2:2" s="24" customFormat="1"/>
    <row r="57" spans="2:2" s="24" customFormat="1"/>
    <row r="58" spans="2:2" s="24" customFormat="1"/>
    <row r="59" spans="2:2" s="24" customFormat="1"/>
    <row r="60" spans="2:2" s="24" customFormat="1"/>
    <row r="61" spans="2:2" s="24" customFormat="1"/>
    <row r="62" spans="2:2" s="24" customFormat="1"/>
    <row r="63" spans="2:2" s="24" customFormat="1"/>
    <row r="64" spans="2:2" s="24" customFormat="1"/>
    <row r="65" s="24" customFormat="1"/>
    <row r="66" s="24" customFormat="1"/>
    <row r="67" s="24" customFormat="1"/>
    <row r="68" s="24" customFormat="1"/>
    <row r="69" s="24" customFormat="1"/>
    <row r="70" s="24" customFormat="1"/>
    <row r="71" s="24" customFormat="1"/>
    <row r="72" s="24" customFormat="1"/>
    <row r="73" s="24" customFormat="1"/>
    <row r="74" s="24" customFormat="1"/>
    <row r="75" s="24" customFormat="1"/>
    <row r="76" s="24" customFormat="1"/>
    <row r="77" s="24" customFormat="1"/>
    <row r="78" s="24" customFormat="1"/>
    <row r="79" s="24" customFormat="1"/>
    <row r="80" s="24" customFormat="1"/>
    <row r="81" spans="3:10" s="24" customFormat="1"/>
    <row r="82" spans="3:10" s="24" customFormat="1"/>
    <row r="83" spans="3:10" s="24" customFormat="1">
      <c r="C83" s="135" t="s">
        <v>110</v>
      </c>
    </row>
    <row r="84" spans="3:10" s="24" customFormat="1">
      <c r="H84" s="11" t="s">
        <v>114</v>
      </c>
      <c r="I84" s="142" t="s">
        <v>115</v>
      </c>
      <c r="J84" s="143" t="s">
        <v>138</v>
      </c>
    </row>
    <row r="85" spans="3:10" s="24" customFormat="1">
      <c r="C85" s="167" t="s">
        <v>111</v>
      </c>
      <c r="D85" s="83"/>
      <c r="E85" s="83"/>
      <c r="F85" s="140" t="s">
        <v>93</v>
      </c>
      <c r="G85" s="83"/>
      <c r="H85" s="144">
        <f>E18</f>
        <v>4107623979.2080083</v>
      </c>
      <c r="I85" s="174">
        <f>64/H85</f>
        <v>1.5580783519610247E-8</v>
      </c>
      <c r="J85" s="161"/>
    </row>
    <row r="86" spans="3:10" s="24" customFormat="1">
      <c r="C86" s="168" t="s">
        <v>113</v>
      </c>
      <c r="F86" s="24" t="s">
        <v>263</v>
      </c>
      <c r="H86" s="145">
        <f>H85</f>
        <v>4107623979.2080083</v>
      </c>
      <c r="I86" s="162">
        <f>0.316/H86^0.25</f>
        <v>1.2482150437836729E-3</v>
      </c>
      <c r="J86" s="149"/>
    </row>
    <row r="87" spans="3:10" s="24" customFormat="1">
      <c r="C87" s="168" t="s">
        <v>116</v>
      </c>
      <c r="F87" s="24" t="s">
        <v>264</v>
      </c>
      <c r="H87" s="145">
        <f>H86</f>
        <v>4107623979.2080083</v>
      </c>
      <c r="I87" s="175">
        <f>(1.14+2*LOG(E12/F92))^-2</f>
        <v>1.4923897295808928E-2</v>
      </c>
      <c r="J87" s="159">
        <f>H92</f>
        <v>2.9999999999999997E-4</v>
      </c>
    </row>
    <row r="88" spans="3:10" s="24" customFormat="1">
      <c r="C88" s="169" t="s">
        <v>122</v>
      </c>
      <c r="D88" s="89"/>
      <c r="E88" s="89"/>
      <c r="F88" s="89" t="s">
        <v>265</v>
      </c>
      <c r="G88" s="89"/>
      <c r="H88" s="147">
        <f>H87</f>
        <v>4107623979.2080083</v>
      </c>
      <c r="I88" s="163">
        <f>(-2*LOG((J88)/3.7+2.51/(H88*0.012^0.5)))^-2</f>
        <v>1.4937238254264623E-2</v>
      </c>
      <c r="J88" s="160">
        <f>H92</f>
        <v>2.9999999999999997E-4</v>
      </c>
    </row>
    <row r="89" spans="3:10" s="24" customFormat="1">
      <c r="D89" s="170"/>
      <c r="H89" s="148"/>
      <c r="I89" s="146"/>
    </row>
    <row r="90" spans="3:10" s="24" customFormat="1">
      <c r="D90" s="171" t="s">
        <v>224</v>
      </c>
      <c r="E90" s="153"/>
      <c r="F90" s="157" t="s">
        <v>176</v>
      </c>
      <c r="G90" s="143" t="s">
        <v>173</v>
      </c>
      <c r="H90" s="11" t="s">
        <v>225</v>
      </c>
      <c r="I90" s="146"/>
    </row>
    <row r="91" spans="3:10" s="24" customFormat="1">
      <c r="D91" s="168" t="s">
        <v>117</v>
      </c>
      <c r="F91" s="149">
        <v>5.0000000000000004E-6</v>
      </c>
      <c r="G91" s="149">
        <f>F91*12*25.4</f>
        <v>1.5240000000000002E-3</v>
      </c>
      <c r="H91" s="158">
        <f>F91/$E$12</f>
        <v>1.0000000000000001E-5</v>
      </c>
      <c r="I91" s="146"/>
    </row>
    <row r="92" spans="3:10" s="24" customFormat="1">
      <c r="D92" s="168" t="s">
        <v>118</v>
      </c>
      <c r="F92" s="149">
        <v>1.4999999999999999E-4</v>
      </c>
      <c r="G92" s="149">
        <f>F92*12*25.4</f>
        <v>4.5719999999999997E-2</v>
      </c>
      <c r="H92" s="159">
        <f t="shared" ref="H92:H95" si="0">F92/$E$12</f>
        <v>2.9999999999999997E-4</v>
      </c>
      <c r="I92" s="146"/>
    </row>
    <row r="93" spans="3:10" s="24" customFormat="1">
      <c r="D93" s="168" t="s">
        <v>119</v>
      </c>
      <c r="F93" s="149">
        <v>5.0000000000000001E-4</v>
      </c>
      <c r="G93" s="149">
        <f t="shared" ref="G93:G95" si="1">F93*12*25.4</f>
        <v>0.15240000000000001</v>
      </c>
      <c r="H93" s="159">
        <f t="shared" si="0"/>
        <v>1E-3</v>
      </c>
      <c r="I93" s="146"/>
    </row>
    <row r="94" spans="3:10" s="24" customFormat="1">
      <c r="D94" s="168" t="s">
        <v>120</v>
      </c>
      <c r="F94" s="149">
        <v>8.4999999999999995E-4</v>
      </c>
      <c r="G94" s="149">
        <f t="shared" si="1"/>
        <v>0.25907999999999998</v>
      </c>
      <c r="H94" s="159">
        <f t="shared" si="0"/>
        <v>1.6999999999999999E-3</v>
      </c>
      <c r="I94" s="146"/>
    </row>
    <row r="95" spans="3:10" s="24" customFormat="1">
      <c r="D95" s="169" t="s">
        <v>121</v>
      </c>
      <c r="E95" s="89"/>
      <c r="F95" s="150">
        <v>5.0000000000000001E-4</v>
      </c>
      <c r="G95" s="150">
        <f t="shared" si="1"/>
        <v>0.15240000000000001</v>
      </c>
      <c r="H95" s="160">
        <f t="shared" si="0"/>
        <v>1E-3</v>
      </c>
      <c r="I95" s="146"/>
    </row>
    <row r="96" spans="3:10" s="24" customFormat="1">
      <c r="F96" s="79"/>
      <c r="G96" s="151"/>
      <c r="H96" s="152"/>
      <c r="I96" s="146"/>
    </row>
    <row r="97" spans="2:9" s="24" customFormat="1">
      <c r="G97" s="138"/>
      <c r="H97" s="7" t="s">
        <v>114</v>
      </c>
      <c r="I97" s="143" t="s">
        <v>115</v>
      </c>
    </row>
    <row r="98" spans="2:9" s="24" customFormat="1">
      <c r="C98" s="135" t="s">
        <v>226</v>
      </c>
      <c r="D98" s="135"/>
      <c r="E98" s="135"/>
      <c r="G98" s="85" t="s">
        <v>104</v>
      </c>
      <c r="H98" s="165">
        <f>H88</f>
        <v>4107623979.2080083</v>
      </c>
      <c r="I98" s="149">
        <v>8.0000000000000002E-3</v>
      </c>
    </row>
    <row r="99" spans="2:9" s="24" customFormat="1">
      <c r="G99" s="137" t="s">
        <v>105</v>
      </c>
      <c r="H99" s="166">
        <f>H98</f>
        <v>4107623979.2080083</v>
      </c>
      <c r="I99" s="150">
        <v>1.2999999999999999E-2</v>
      </c>
    </row>
    <row r="100" spans="2:9" s="24" customFormat="1"/>
    <row r="101" spans="2:9" s="24" customFormat="1" ht="15.75">
      <c r="B101" s="134" t="s">
        <v>106</v>
      </c>
    </row>
    <row r="102" spans="2:9" s="24" customFormat="1"/>
    <row r="103" spans="2:9" s="24" customFormat="1">
      <c r="B103" s="24" t="s">
        <v>276</v>
      </c>
    </row>
    <row r="104" spans="2:9" s="24" customFormat="1">
      <c r="B104" s="24" t="s">
        <v>251</v>
      </c>
      <c r="C104" s="176">
        <f>(E9^2-(E10/5280*Properties!O24*(460+E8))*(E6*1000000/(433.65*(520/14.7)*(E12*12)^2.67))^2)^0.5</f>
        <v>35.836814188450127</v>
      </c>
      <c r="D104" s="24" t="s">
        <v>33</v>
      </c>
    </row>
    <row r="105" spans="2:9" s="24" customFormat="1">
      <c r="C105" s="176"/>
    </row>
    <row r="106" spans="2:9" s="24" customFormat="1" ht="15.75">
      <c r="B106" s="134" t="s">
        <v>112</v>
      </c>
      <c r="C106" s="151"/>
    </row>
    <row r="107" spans="2:9" s="24" customFormat="1">
      <c r="C107" s="151"/>
    </row>
    <row r="108" spans="2:9" s="24" customFormat="1">
      <c r="B108" s="24" t="s">
        <v>252</v>
      </c>
      <c r="C108" s="151"/>
    </row>
    <row r="109" spans="2:9" s="24" customFormat="1">
      <c r="B109" s="24" t="s">
        <v>251</v>
      </c>
      <c r="C109" s="176">
        <f>((E9^2)-((E6*1000000)/(435.87*E13*(520/14.7)^1.0788*(E12*12)^2.6182))^(1/0.5394)*(Properties!O24^0.8539*Properties!K24*(460+E8)*E10/5280))^0.5</f>
        <v>47.067636287288124</v>
      </c>
      <c r="D109" s="24" t="s">
        <v>33</v>
      </c>
    </row>
    <row r="110" spans="2:9" s="24" customFormat="1">
      <c r="C110" s="151"/>
    </row>
    <row r="111" spans="2:9" s="24" customFormat="1" ht="15.75">
      <c r="B111" s="134" t="s">
        <v>123</v>
      </c>
      <c r="C111" s="151"/>
    </row>
    <row r="112" spans="2:9" s="24" customFormat="1">
      <c r="C112" s="151"/>
    </row>
    <row r="113" spans="2:4" s="24" customFormat="1">
      <c r="B113" s="24" t="s">
        <v>253</v>
      </c>
      <c r="C113" s="151"/>
    </row>
    <row r="114" spans="2:4" s="24" customFormat="1">
      <c r="B114" s="24" t="s">
        <v>251</v>
      </c>
      <c r="C114" s="176">
        <f>((E9^2)-((E6*1000000)/((737*E13*(520/14.7)^1.02)*(E12*12)^2.53))^(1/0.51)*(Properties!O24^0.8539*(460+E8)*Properties!K24*E10/5280))^0.5</f>
        <v>54.928105100964999</v>
      </c>
      <c r="D114" s="24" t="s">
        <v>33</v>
      </c>
    </row>
    <row r="115" spans="2:4" s="24" customFormat="1"/>
    <row r="116" spans="2:4" s="24" customFormat="1">
      <c r="B116" s="164" t="s">
        <v>107</v>
      </c>
    </row>
    <row r="117" spans="2:4" s="24" customFormat="1">
      <c r="B117" s="24" t="s">
        <v>255</v>
      </c>
    </row>
    <row r="118" spans="2:4" s="24" customFormat="1">
      <c r="B118" s="133" t="s">
        <v>254</v>
      </c>
    </row>
    <row r="119" spans="2:4" s="24" customFormat="1">
      <c r="B119" s="24" t="s">
        <v>256</v>
      </c>
    </row>
    <row r="120" spans="2:4" s="24" customFormat="1">
      <c r="B120" s="24" t="s">
        <v>257</v>
      </c>
    </row>
    <row r="121" spans="2:4" s="24" customFormat="1">
      <c r="B121" s="24" t="s">
        <v>258</v>
      </c>
    </row>
    <row r="122" spans="2:4" s="24" customFormat="1">
      <c r="B122" s="24" t="s">
        <v>259</v>
      </c>
    </row>
    <row r="123" spans="2:4" s="24" customFormat="1">
      <c r="B123" s="24" t="s">
        <v>260</v>
      </c>
    </row>
    <row r="124" spans="2:4" s="24" customFormat="1">
      <c r="B124" s="24" t="s">
        <v>261</v>
      </c>
    </row>
    <row r="125" spans="2:4" s="24" customFormat="1">
      <c r="B125" s="24" t="s">
        <v>262</v>
      </c>
    </row>
    <row r="126" spans="2:4" s="24" customFormat="1">
      <c r="B126" s="24" t="s">
        <v>135</v>
      </c>
    </row>
    <row r="127" spans="2:4" s="24" customFormat="1">
      <c r="B127" s="24" t="s">
        <v>136</v>
      </c>
    </row>
    <row r="128" spans="2:4" s="24" customFormat="1"/>
    <row r="129" s="24" customFormat="1"/>
    <row r="130" s="24" customFormat="1"/>
    <row r="131" s="24" customFormat="1"/>
    <row r="132" s="24" customFormat="1"/>
    <row r="133" s="24" customFormat="1"/>
    <row r="134" s="24" customFormat="1"/>
    <row r="135" s="24" customFormat="1"/>
    <row r="136" s="24" customFormat="1"/>
    <row r="137" s="24" customFormat="1"/>
    <row r="138" s="24" customFormat="1"/>
    <row r="139" s="24" customFormat="1"/>
    <row r="140" s="24" customFormat="1"/>
    <row r="141" s="24" customFormat="1"/>
    <row r="142" s="24" customFormat="1"/>
    <row r="143" s="24" customFormat="1"/>
    <row r="144" s="24" customFormat="1"/>
    <row r="145" s="24" customFormat="1"/>
    <row r="146" s="24" customFormat="1"/>
    <row r="147" s="24" customFormat="1"/>
    <row r="148" s="24" customFormat="1"/>
    <row r="149" s="24" customFormat="1"/>
    <row r="150" s="24" customFormat="1"/>
    <row r="151" s="24" customFormat="1"/>
    <row r="152" s="24" customFormat="1"/>
    <row r="153" s="24" customFormat="1"/>
    <row r="154" s="24" customFormat="1"/>
    <row r="155" s="24" customFormat="1"/>
    <row r="156" s="24" customFormat="1"/>
    <row r="157" s="24" customFormat="1"/>
    <row r="158" s="24" customFormat="1"/>
    <row r="159" s="24" customFormat="1"/>
    <row r="160" s="24" customFormat="1"/>
    <row r="161" s="24" customFormat="1"/>
    <row r="162" s="24" customFormat="1"/>
    <row r="163" s="24" customFormat="1"/>
    <row r="164" s="24" customFormat="1"/>
    <row r="165" s="24" customFormat="1"/>
    <row r="166" s="24" customFormat="1"/>
    <row r="167" s="24" customFormat="1"/>
    <row r="168" s="24" customFormat="1"/>
    <row r="169" s="24" customFormat="1"/>
    <row r="170" s="24" customFormat="1"/>
    <row r="171" s="24" customFormat="1"/>
    <row r="172" s="24" customFormat="1"/>
    <row r="173" s="24" customFormat="1"/>
    <row r="174" s="24" customFormat="1"/>
    <row r="175" s="24" customFormat="1"/>
    <row r="176" s="24" customFormat="1"/>
    <row r="177" s="24" customFormat="1"/>
    <row r="178" s="24" customFormat="1"/>
    <row r="179" s="24" customFormat="1"/>
    <row r="180" s="24" customFormat="1"/>
    <row r="181" s="24" customFormat="1"/>
    <row r="182" s="24" customFormat="1"/>
    <row r="183" s="24" customFormat="1"/>
    <row r="184" s="24" customFormat="1"/>
    <row r="185" s="24" customFormat="1"/>
    <row r="186" s="24" customFormat="1"/>
    <row r="187" s="24" customFormat="1"/>
    <row r="188" s="24" customFormat="1"/>
    <row r="189" s="24" customFormat="1"/>
    <row r="190" s="24" customFormat="1"/>
    <row r="191" s="24" customFormat="1"/>
    <row r="192" s="24" customFormat="1"/>
    <row r="193" s="24" customFormat="1"/>
    <row r="194" s="24" customFormat="1"/>
    <row r="195" s="24" customFormat="1"/>
    <row r="196" s="24" customFormat="1"/>
    <row r="197" s="24" customFormat="1"/>
    <row r="198" s="24" customFormat="1"/>
    <row r="199" s="24" customFormat="1"/>
    <row r="200" s="24" customFormat="1"/>
    <row r="201" s="24" customFormat="1"/>
    <row r="202" s="24" customFormat="1"/>
    <row r="203" s="24" customFormat="1"/>
    <row r="204" s="24" customFormat="1"/>
    <row r="205" s="24" customFormat="1"/>
    <row r="206" s="24" customFormat="1"/>
    <row r="207" s="24" customFormat="1"/>
    <row r="208" s="24" customFormat="1"/>
    <row r="209" spans="7:16" s="24" customFormat="1"/>
    <row r="210" spans="7:16" s="24" customFormat="1"/>
    <row r="211" spans="7:16" s="24" customFormat="1"/>
    <row r="212" spans="7:16" s="24" customFormat="1"/>
    <row r="213" spans="7:16" s="24" customFormat="1"/>
    <row r="214" spans="7:16">
      <c r="G214" s="24"/>
      <c r="H214" s="24"/>
      <c r="I214" s="24"/>
      <c r="J214" s="24"/>
      <c r="K214" s="24"/>
      <c r="L214" s="24"/>
      <c r="M214" s="24"/>
      <c r="N214" s="24"/>
      <c r="O214" s="24"/>
      <c r="P214" s="24"/>
    </row>
    <row r="215" spans="7:16">
      <c r="G215" s="24"/>
      <c r="H215" s="24"/>
      <c r="I215" s="24"/>
      <c r="J215" s="24"/>
      <c r="K215" s="24"/>
      <c r="L215" s="24"/>
      <c r="M215" s="24"/>
      <c r="N215" s="24"/>
      <c r="O215" s="24"/>
      <c r="P215" s="24"/>
    </row>
    <row r="216" spans="7:16">
      <c r="G216" s="24"/>
      <c r="H216" s="24"/>
      <c r="I216" s="24"/>
      <c r="J216" s="24"/>
      <c r="K216" s="24"/>
    </row>
    <row r="217" spans="7:16">
      <c r="G217" s="24"/>
      <c r="H217" s="24"/>
      <c r="I217" s="24"/>
      <c r="J217" s="24"/>
      <c r="K217" s="24"/>
    </row>
    <row r="218" spans="7:16">
      <c r="G218" s="24"/>
      <c r="H218" s="24"/>
      <c r="I218" s="24"/>
      <c r="J218" s="24"/>
      <c r="K218" s="24"/>
    </row>
    <row r="219" spans="7:16">
      <c r="G219" s="24"/>
      <c r="H219" s="24"/>
      <c r="I219" s="24"/>
      <c r="J219" s="24"/>
      <c r="K219" s="24"/>
    </row>
    <row r="220" spans="7:16">
      <c r="G220" s="24"/>
      <c r="H220" s="24"/>
      <c r="I220" s="24"/>
      <c r="J220" s="24"/>
      <c r="K220" s="24"/>
    </row>
    <row r="221" spans="7:16">
      <c r="G221" s="24"/>
      <c r="H221" s="24"/>
      <c r="I221" s="24"/>
      <c r="J221" s="24"/>
      <c r="K221" s="24"/>
    </row>
    <row r="222" spans="7:16">
      <c r="G222" s="24"/>
      <c r="H222" s="24"/>
      <c r="I222" s="24"/>
      <c r="J222" s="24"/>
      <c r="K222" s="24"/>
    </row>
    <row r="223" spans="7:16">
      <c r="G223" s="24"/>
      <c r="H223" s="24"/>
      <c r="I223" s="24"/>
      <c r="J223" s="24"/>
      <c r="K223" s="24"/>
    </row>
    <row r="224" spans="7:16">
      <c r="G224" s="24"/>
      <c r="H224" s="24"/>
      <c r="I224" s="24"/>
      <c r="J224" s="24"/>
      <c r="K224" s="24"/>
    </row>
    <row r="225" spans="7:11">
      <c r="G225" s="24"/>
      <c r="H225" s="24"/>
      <c r="I225" s="24"/>
      <c r="J225" s="24"/>
      <c r="K225" s="24"/>
    </row>
    <row r="226" spans="7:11">
      <c r="G226" s="24"/>
      <c r="H226" s="24"/>
      <c r="I226" s="24"/>
      <c r="J226" s="24"/>
      <c r="K226" s="24"/>
    </row>
    <row r="227" spans="7:11">
      <c r="G227" s="24"/>
      <c r="H227" s="24"/>
      <c r="I227" s="24"/>
      <c r="J227" s="24"/>
      <c r="K227" s="24"/>
    </row>
    <row r="228" spans="7:11">
      <c r="G228" s="24"/>
      <c r="H228" s="24"/>
      <c r="I228" s="24"/>
      <c r="J228" s="24"/>
      <c r="K228" s="24"/>
    </row>
    <row r="229" spans="7:11">
      <c r="G229" s="24"/>
      <c r="H229" s="24"/>
      <c r="I229" s="24"/>
      <c r="J229" s="24"/>
      <c r="K229" s="24"/>
    </row>
    <row r="230" spans="7:11">
      <c r="G230" s="24"/>
      <c r="H230" s="24"/>
      <c r="I230" s="24"/>
      <c r="J230" s="24"/>
      <c r="K230" s="24"/>
    </row>
    <row r="231" spans="7:11">
      <c r="G231" s="24"/>
      <c r="H231" s="24"/>
      <c r="I231" s="24"/>
      <c r="J231" s="24"/>
      <c r="K231" s="24"/>
    </row>
    <row r="232" spans="7:11">
      <c r="G232" s="24"/>
      <c r="H232" s="24"/>
      <c r="I232" s="24"/>
      <c r="J232" s="24"/>
      <c r="K232" s="24"/>
    </row>
    <row r="233" spans="7:11">
      <c r="G233" s="24"/>
      <c r="H233" s="24"/>
      <c r="I233" s="24"/>
      <c r="J233" s="24"/>
      <c r="K233" s="24"/>
    </row>
    <row r="234" spans="7:11">
      <c r="G234" s="24"/>
      <c r="H234" s="24"/>
      <c r="I234" s="24"/>
      <c r="J234" s="24"/>
      <c r="K234" s="24"/>
    </row>
    <row r="235" spans="7:11">
      <c r="G235" s="24"/>
      <c r="H235" s="24"/>
      <c r="I235" s="24"/>
      <c r="J235" s="24"/>
      <c r="K235" s="24"/>
    </row>
    <row r="236" spans="7:11">
      <c r="G236" s="24"/>
      <c r="H236" s="24"/>
      <c r="I236" s="24"/>
      <c r="J236" s="24"/>
      <c r="K236" s="24"/>
    </row>
    <row r="237" spans="7:11">
      <c r="G237" s="24"/>
      <c r="H237" s="24"/>
      <c r="I237" s="24"/>
      <c r="J237" s="24"/>
      <c r="K237" s="24"/>
    </row>
    <row r="238" spans="7:11">
      <c r="G238" s="24"/>
      <c r="H238" s="24"/>
      <c r="I238" s="24"/>
      <c r="J238" s="24"/>
      <c r="K238" s="24"/>
    </row>
    <row r="239" spans="7:11">
      <c r="G239" s="24"/>
      <c r="H239" s="24"/>
      <c r="I239" s="24"/>
      <c r="J239" s="24"/>
      <c r="K239" s="24"/>
    </row>
    <row r="240" spans="7:11">
      <c r="G240" s="24"/>
      <c r="H240" s="24"/>
      <c r="I240" s="24"/>
      <c r="J240" s="24"/>
      <c r="K240" s="24"/>
    </row>
    <row r="241" spans="7:11">
      <c r="G241" s="24"/>
      <c r="H241" s="24"/>
      <c r="I241" s="24"/>
      <c r="J241" s="24"/>
      <c r="K241" s="24"/>
    </row>
    <row r="242" spans="7:11">
      <c r="G242" s="24"/>
      <c r="H242" s="24"/>
      <c r="I242" s="24"/>
      <c r="J242" s="24"/>
      <c r="K242" s="24"/>
    </row>
    <row r="243" spans="7:11">
      <c r="G243" s="24"/>
      <c r="H243" s="24"/>
      <c r="I243" s="24"/>
      <c r="J243" s="24"/>
      <c r="K243" s="24"/>
    </row>
    <row r="244" spans="7:11">
      <c r="G244" s="24"/>
      <c r="H244" s="24"/>
      <c r="I244" s="24"/>
      <c r="J244" s="24"/>
      <c r="K244" s="24"/>
    </row>
    <row r="245" spans="7:11">
      <c r="G245" s="24"/>
      <c r="H245" s="24"/>
      <c r="I245" s="24"/>
      <c r="J245" s="24"/>
      <c r="K245" s="24"/>
    </row>
    <row r="246" spans="7:11">
      <c r="G246" s="24"/>
      <c r="H246" s="24"/>
      <c r="I246" s="24"/>
      <c r="J246" s="24"/>
      <c r="K246" s="24"/>
    </row>
    <row r="247" spans="7:11">
      <c r="G247" s="24"/>
      <c r="H247" s="24"/>
      <c r="I247" s="24"/>
      <c r="J247" s="24"/>
      <c r="K247" s="24"/>
    </row>
    <row r="248" spans="7:11">
      <c r="G248" s="24"/>
      <c r="H248" s="24"/>
      <c r="I248" s="24"/>
      <c r="J248" s="24"/>
      <c r="K248" s="24"/>
    </row>
    <row r="249" spans="7:11">
      <c r="G249" s="24"/>
      <c r="H249" s="24"/>
      <c r="I249" s="24"/>
      <c r="J249" s="24"/>
      <c r="K249" s="24"/>
    </row>
    <row r="250" spans="7:11">
      <c r="G250" s="24"/>
      <c r="H250" s="24"/>
      <c r="I250" s="24"/>
      <c r="J250" s="24"/>
      <c r="K250" s="24"/>
    </row>
    <row r="251" spans="7:11">
      <c r="G251" s="24"/>
      <c r="H251" s="24"/>
      <c r="I251" s="24"/>
      <c r="J251" s="24"/>
      <c r="K251" s="24"/>
    </row>
    <row r="252" spans="7:11">
      <c r="G252" s="24"/>
      <c r="H252" s="24"/>
      <c r="I252" s="24"/>
      <c r="J252" s="24"/>
      <c r="K252" s="24"/>
    </row>
    <row r="253" spans="7:11">
      <c r="G253" s="24"/>
      <c r="H253" s="24"/>
      <c r="I253" s="24"/>
      <c r="J253" s="24"/>
      <c r="K253" s="24"/>
    </row>
    <row r="254" spans="7:11">
      <c r="G254" s="24"/>
      <c r="H254" s="24"/>
      <c r="I254" s="24"/>
      <c r="J254" s="24"/>
      <c r="K254" s="24"/>
    </row>
    <row r="255" spans="7:11">
      <c r="G255" s="24"/>
      <c r="H255" s="24"/>
      <c r="I255" s="24"/>
      <c r="J255" s="24"/>
      <c r="K255" s="24"/>
    </row>
    <row r="256" spans="7:11">
      <c r="G256" s="24"/>
      <c r="H256" s="24"/>
      <c r="I256" s="24"/>
      <c r="J256" s="24"/>
      <c r="K256" s="24"/>
    </row>
    <row r="257" spans="7:11">
      <c r="G257" s="24"/>
      <c r="H257" s="24"/>
      <c r="I257" s="24"/>
      <c r="J257" s="24"/>
      <c r="K257" s="24"/>
    </row>
    <row r="258" spans="7:11">
      <c r="G258" s="24"/>
      <c r="H258" s="24"/>
      <c r="I258" s="24"/>
      <c r="J258" s="24"/>
      <c r="K258" s="24"/>
    </row>
    <row r="259" spans="7:11">
      <c r="G259" s="24"/>
      <c r="H259" s="24"/>
      <c r="I259" s="24"/>
      <c r="J259" s="24"/>
      <c r="K259" s="24"/>
    </row>
    <row r="260" spans="7:11">
      <c r="G260" s="24"/>
      <c r="H260" s="24"/>
      <c r="I260" s="24"/>
      <c r="J260" s="24"/>
      <c r="K260" s="24"/>
    </row>
    <row r="261" spans="7:11">
      <c r="G261" s="24"/>
      <c r="H261" s="24"/>
      <c r="I261" s="24"/>
      <c r="J261" s="24"/>
      <c r="K261" s="24"/>
    </row>
    <row r="262" spans="7:11">
      <c r="G262" s="24"/>
      <c r="H262" s="24"/>
      <c r="I262" s="24"/>
      <c r="J262" s="24"/>
      <c r="K262" s="24"/>
    </row>
    <row r="263" spans="7:11">
      <c r="G263" s="24"/>
      <c r="H263" s="24"/>
      <c r="I263" s="24"/>
      <c r="J263" s="24"/>
      <c r="K263" s="24"/>
    </row>
    <row r="264" spans="7:11">
      <c r="G264" s="24"/>
      <c r="H264" s="24"/>
      <c r="I264" s="24"/>
      <c r="J264" s="24"/>
      <c r="K264" s="24"/>
    </row>
    <row r="265" spans="7:11">
      <c r="G265" s="24"/>
      <c r="H265" s="24"/>
      <c r="I265" s="24"/>
      <c r="J265" s="24"/>
      <c r="K265" s="24"/>
    </row>
    <row r="266" spans="7:11">
      <c r="G266" s="24"/>
      <c r="H266" s="24"/>
      <c r="I266" s="24"/>
      <c r="J266" s="24"/>
      <c r="K266" s="24"/>
    </row>
    <row r="267" spans="7:11">
      <c r="G267" s="24"/>
      <c r="H267" s="24"/>
      <c r="I267" s="24"/>
      <c r="J267" s="24"/>
      <c r="K267" s="24"/>
    </row>
    <row r="268" spans="7:11">
      <c r="G268" s="24"/>
      <c r="H268" s="24"/>
      <c r="I268" s="24"/>
      <c r="J268" s="24"/>
      <c r="K268" s="24"/>
    </row>
    <row r="269" spans="7:11">
      <c r="G269" s="24"/>
      <c r="H269" s="24"/>
      <c r="I269" s="24"/>
      <c r="J269" s="24"/>
      <c r="K269" s="24"/>
    </row>
    <row r="270" spans="7:11">
      <c r="G270" s="24"/>
      <c r="H270" s="24"/>
      <c r="I270" s="24"/>
      <c r="J270" s="24"/>
      <c r="K270" s="24"/>
    </row>
    <row r="271" spans="7:11">
      <c r="G271" s="24"/>
      <c r="H271" s="24"/>
      <c r="I271" s="24"/>
      <c r="J271" s="24"/>
      <c r="K271" s="24"/>
    </row>
    <row r="272" spans="7:11">
      <c r="G272" s="24"/>
      <c r="H272" s="24"/>
      <c r="I272" s="24"/>
      <c r="J272" s="24"/>
      <c r="K272" s="24"/>
    </row>
    <row r="273" spans="7:11">
      <c r="G273" s="24"/>
      <c r="H273" s="24"/>
      <c r="I273" s="24"/>
      <c r="J273" s="24"/>
      <c r="K273" s="24"/>
    </row>
    <row r="274" spans="7:11">
      <c r="G274" s="24"/>
      <c r="H274" s="24"/>
      <c r="I274" s="24"/>
      <c r="J274" s="24"/>
      <c r="K274" s="24"/>
    </row>
    <row r="275" spans="7:11">
      <c r="G275" s="24"/>
      <c r="H275" s="24"/>
      <c r="I275" s="24"/>
      <c r="J275" s="24"/>
      <c r="K275" s="24"/>
    </row>
    <row r="276" spans="7:11">
      <c r="G276" s="24"/>
      <c r="H276" s="24"/>
      <c r="I276" s="24"/>
      <c r="J276" s="24"/>
      <c r="K276" s="24"/>
    </row>
    <row r="277" spans="7:11">
      <c r="G277" s="24"/>
      <c r="H277" s="24"/>
      <c r="I277" s="24"/>
      <c r="J277" s="24"/>
      <c r="K277" s="2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99025-D879-42AB-8D17-1999D6AD9C6E}">
  <dimension ref="B1:G70"/>
  <sheetViews>
    <sheetView tabSelected="1" topLeftCell="A3" zoomScale="113" zoomScaleNormal="130" workbookViewId="0"/>
  </sheetViews>
  <sheetFormatPr defaultColWidth="9.140625" defaultRowHeight="15"/>
  <cols>
    <col min="1" max="1" width="4" style="24" customWidth="1"/>
    <col min="2" max="3" width="9.140625" style="24"/>
    <col min="4" max="4" width="13" style="24" customWidth="1"/>
    <col min="5" max="5" width="9.85546875" style="24" customWidth="1"/>
    <col min="6" max="16384" width="9.140625" style="24"/>
  </cols>
  <sheetData>
    <row r="1" spans="2:2" ht="18.75">
      <c r="B1" s="127" t="s">
        <v>131</v>
      </c>
    </row>
    <row r="2" spans="2:2">
      <c r="B2" s="128" t="s">
        <v>87</v>
      </c>
    </row>
    <row r="4" spans="2:2">
      <c r="B4" s="24" t="s">
        <v>132</v>
      </c>
    </row>
    <row r="5" spans="2:2">
      <c r="B5" s="24" t="s">
        <v>140</v>
      </c>
    </row>
    <row r="6" spans="2:2">
      <c r="B6" s="24" t="s">
        <v>134</v>
      </c>
    </row>
    <row r="7" spans="2:2">
      <c r="B7" s="24" t="s">
        <v>99</v>
      </c>
    </row>
    <row r="8" spans="2:2">
      <c r="B8" s="24" t="s">
        <v>100</v>
      </c>
    </row>
    <row r="10" spans="2:2">
      <c r="B10" s="24" t="s">
        <v>101</v>
      </c>
    </row>
    <row r="11" spans="2:2">
      <c r="B11" s="24" t="s">
        <v>102</v>
      </c>
    </row>
    <row r="12" spans="2:2">
      <c r="B12" s="24" t="s">
        <v>133</v>
      </c>
    </row>
    <row r="25" spans="2:5">
      <c r="B25" s="155" t="s">
        <v>272</v>
      </c>
    </row>
    <row r="27" spans="2:5">
      <c r="B27" s="24" t="s">
        <v>274</v>
      </c>
    </row>
    <row r="29" spans="2:5">
      <c r="B29" s="24" t="s">
        <v>228</v>
      </c>
      <c r="E29" s="24">
        <v>3.5</v>
      </c>
    </row>
    <row r="30" spans="2:5">
      <c r="B30" s="24" t="s">
        <v>229</v>
      </c>
      <c r="E30" s="24">
        <v>80</v>
      </c>
    </row>
    <row r="31" spans="2:5">
      <c r="B31" s="24" t="s">
        <v>231</v>
      </c>
      <c r="E31" s="24">
        <v>100</v>
      </c>
    </row>
    <row r="32" spans="2:5">
      <c r="B32" s="24" t="s">
        <v>89</v>
      </c>
      <c r="E32" s="24">
        <v>10560</v>
      </c>
    </row>
    <row r="33" spans="2:7">
      <c r="B33" s="24" t="s">
        <v>269</v>
      </c>
      <c r="E33" s="139">
        <v>0.67</v>
      </c>
    </row>
    <row r="34" spans="2:7">
      <c r="B34" s="24" t="s">
        <v>233</v>
      </c>
      <c r="E34" s="24">
        <v>0.92</v>
      </c>
    </row>
    <row r="35" spans="2:7">
      <c r="B35" s="24" t="s">
        <v>103</v>
      </c>
      <c r="E35" s="24">
        <v>5.8395077481383457E-2</v>
      </c>
    </row>
    <row r="36" spans="2:7">
      <c r="B36" s="24" t="s">
        <v>234</v>
      </c>
      <c r="E36" s="24">
        <v>1.0618279569892475E-5</v>
      </c>
    </row>
    <row r="37" spans="2:7">
      <c r="B37" s="24" t="s">
        <v>250</v>
      </c>
      <c r="E37" s="146">
        <v>1.4038428484113276E-2</v>
      </c>
    </row>
    <row r="38" spans="2:7">
      <c r="B38" s="24" t="s">
        <v>1</v>
      </c>
      <c r="E38" s="141">
        <v>17.548612761184749</v>
      </c>
    </row>
    <row r="39" spans="2:7">
      <c r="B39" s="24" t="s">
        <v>270</v>
      </c>
      <c r="E39" s="24">
        <v>1019128136.966567</v>
      </c>
    </row>
    <row r="40" spans="2:7">
      <c r="B40" s="24" t="s">
        <v>108</v>
      </c>
      <c r="E40" s="139">
        <v>2.9215052517741045</v>
      </c>
    </row>
    <row r="41" spans="2:7">
      <c r="B41" s="24" t="s">
        <v>275</v>
      </c>
      <c r="E41" s="183">
        <v>2.9215052517741046E-2</v>
      </c>
    </row>
    <row r="42" spans="2:7">
      <c r="B42" s="24" t="s">
        <v>109</v>
      </c>
      <c r="E42" s="184">
        <v>3.2028519066913503</v>
      </c>
    </row>
    <row r="43" spans="2:7">
      <c r="B43" s="24" t="s">
        <v>125</v>
      </c>
      <c r="E43" s="139">
        <v>2.8305195057823767</v>
      </c>
    </row>
    <row r="44" spans="2:7">
      <c r="B44" s="24" t="s">
        <v>126</v>
      </c>
      <c r="E44" s="184">
        <v>2.1255441278393192</v>
      </c>
    </row>
    <row r="45" spans="2:7">
      <c r="B45" s="24" t="s">
        <v>277</v>
      </c>
      <c r="E45" s="139">
        <v>2.1255441278393192</v>
      </c>
      <c r="G45" s="24" t="s">
        <v>278</v>
      </c>
    </row>
    <row r="47" spans="2:7">
      <c r="B47" s="155" t="s">
        <v>273</v>
      </c>
    </row>
    <row r="49" spans="2:5">
      <c r="B49" s="24" t="s">
        <v>279</v>
      </c>
    </row>
    <row r="51" spans="2:5">
      <c r="B51" s="24" t="s">
        <v>228</v>
      </c>
      <c r="E51" s="24">
        <v>25</v>
      </c>
    </row>
    <row r="52" spans="2:5">
      <c r="B52" s="24" t="s">
        <v>229</v>
      </c>
      <c r="E52" s="24">
        <v>80</v>
      </c>
    </row>
    <row r="53" spans="2:5">
      <c r="B53" s="24" t="s">
        <v>231</v>
      </c>
      <c r="E53" s="24">
        <v>1000</v>
      </c>
    </row>
    <row r="54" spans="2:5">
      <c r="B54" s="24" t="s">
        <v>89</v>
      </c>
      <c r="E54" s="24">
        <v>52800</v>
      </c>
    </row>
    <row r="55" spans="2:5">
      <c r="B55" s="24" t="s">
        <v>269</v>
      </c>
      <c r="E55" s="24">
        <v>1.5</v>
      </c>
    </row>
    <row r="56" spans="2:5">
      <c r="B56" s="24" t="s">
        <v>233</v>
      </c>
      <c r="E56" s="24">
        <v>0.92</v>
      </c>
    </row>
    <row r="57" spans="2:5">
      <c r="B57" s="24" t="s">
        <v>103</v>
      </c>
      <c r="E57" s="146">
        <v>5.8395077481383457E-2</v>
      </c>
    </row>
    <row r="58" spans="2:5">
      <c r="B58" s="24" t="s">
        <v>234</v>
      </c>
      <c r="E58" s="24">
        <v>1.0618279569892475E-5</v>
      </c>
    </row>
    <row r="59" spans="2:5">
      <c r="B59" s="24" t="s">
        <v>250</v>
      </c>
      <c r="E59" s="24">
        <v>1.1970370937854621E-2</v>
      </c>
    </row>
    <row r="60" spans="2:5">
      <c r="B60" s="24" t="s">
        <v>1</v>
      </c>
      <c r="E60" s="141">
        <v>2.5008165931732811</v>
      </c>
    </row>
    <row r="61" spans="2:5">
      <c r="B61" s="24" t="s">
        <v>270</v>
      </c>
      <c r="E61" s="185">
        <v>726169239.18141592</v>
      </c>
    </row>
    <row r="62" spans="2:5">
      <c r="B62" s="24" t="s">
        <v>108</v>
      </c>
      <c r="E62" s="139">
        <v>1.129867293387318</v>
      </c>
    </row>
    <row r="63" spans="2:5">
      <c r="B63" s="24" t="s">
        <v>271</v>
      </c>
      <c r="E63" s="186">
        <v>1.129867293387318E-3</v>
      </c>
    </row>
    <row r="64" spans="2:5">
      <c r="B64" s="24" t="s">
        <v>109</v>
      </c>
      <c r="E64" s="139">
        <v>1.0873964441250337</v>
      </c>
    </row>
    <row r="65" spans="2:7">
      <c r="B65" s="24" t="s">
        <v>125</v>
      </c>
      <c r="E65" s="139">
        <v>1.0688882436480753</v>
      </c>
    </row>
    <row r="66" spans="2:7">
      <c r="B66" s="24" t="s">
        <v>126</v>
      </c>
      <c r="E66" s="139">
        <v>0.91180194803769155</v>
      </c>
    </row>
    <row r="67" spans="2:7">
      <c r="B67" s="24" t="s">
        <v>277</v>
      </c>
      <c r="E67" s="24">
        <v>17.3</v>
      </c>
      <c r="G67" s="24" t="s">
        <v>278</v>
      </c>
    </row>
    <row r="70" spans="2:7">
      <c r="E70" s="24" t="s">
        <v>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9678C-3BF0-438D-8D7A-9644C7BDD879}">
  <sheetPr codeName="Sheet11">
    <tabColor theme="3" tint="0.749992370372631"/>
  </sheetPr>
  <dimension ref="A1:CD35"/>
  <sheetViews>
    <sheetView zoomScale="109" zoomScaleNormal="100" workbookViewId="0"/>
  </sheetViews>
  <sheetFormatPr defaultColWidth="8.85546875" defaultRowHeight="15"/>
  <cols>
    <col min="1" max="1" width="4.42578125" style="2" customWidth="1"/>
    <col min="2" max="2" width="18.7109375" style="2" customWidth="1"/>
    <col min="3" max="3" width="10.28515625" style="2" customWidth="1"/>
    <col min="4" max="7" width="8.85546875" style="2"/>
    <col min="8" max="8" width="9.42578125" style="2" customWidth="1"/>
    <col min="9" max="13" width="8.85546875" style="2"/>
    <col min="14" max="14" width="10" style="3" customWidth="1"/>
    <col min="15" max="16" width="8.85546875" style="4"/>
    <col min="17" max="21" width="8.85546875" style="2"/>
    <col min="22" max="24" width="12" style="2" hidden="1" customWidth="1"/>
    <col min="25" max="25" width="16.140625" style="2" customWidth="1"/>
    <col min="26" max="26" width="11" style="2" bestFit="1" customWidth="1"/>
    <col min="27" max="27" width="12" style="2" bestFit="1" customWidth="1"/>
    <col min="28" max="28" width="11" style="2" bestFit="1" customWidth="1"/>
    <col min="29" max="32" width="12" style="2" bestFit="1" customWidth="1"/>
    <col min="33" max="33" width="13.5703125" style="2" customWidth="1"/>
    <col min="34" max="35" width="8.85546875" style="2"/>
    <col min="36" max="36" width="12.42578125" style="2" bestFit="1" customWidth="1"/>
    <col min="37" max="37" width="8.85546875" style="2"/>
    <col min="38" max="38" width="12" style="2" bestFit="1" customWidth="1"/>
    <col min="39" max="51" width="8.85546875" style="2"/>
    <col min="52" max="52" width="12" style="2" bestFit="1" customWidth="1"/>
    <col min="53" max="56" width="8.85546875" style="2"/>
    <col min="57" max="57" width="12" style="2" bestFit="1" customWidth="1"/>
    <col min="58" max="16384" width="8.85546875" style="2"/>
  </cols>
  <sheetData>
    <row r="1" spans="1:24" ht="21">
      <c r="B1" s="74" t="s">
        <v>90</v>
      </c>
      <c r="Q1" s="4"/>
      <c r="R1" s="4"/>
      <c r="S1" s="4"/>
      <c r="T1" s="4"/>
      <c r="U1" s="4"/>
      <c r="V1" s="4"/>
      <c r="W1" s="4"/>
    </row>
    <row r="2" spans="1:24" ht="12.75" customHeight="1">
      <c r="B2" s="80" t="s">
        <v>96</v>
      </c>
      <c r="Q2" s="4"/>
      <c r="R2" s="4"/>
      <c r="S2" s="4"/>
      <c r="T2" s="4"/>
      <c r="U2" s="4"/>
      <c r="V2" s="4"/>
      <c r="W2" s="4"/>
    </row>
    <row r="3" spans="1:24" ht="5.25" customHeight="1">
      <c r="B3" s="80"/>
      <c r="Q3" s="4"/>
      <c r="R3" s="4"/>
      <c r="S3" s="4"/>
      <c r="T3" s="4"/>
      <c r="U3" s="4"/>
      <c r="V3" s="4"/>
      <c r="W3" s="4"/>
    </row>
    <row r="4" spans="1:24" ht="15.75" customHeight="1">
      <c r="B4" s="74"/>
      <c r="C4" s="23" t="s">
        <v>94</v>
      </c>
      <c r="D4" s="79" t="s">
        <v>95</v>
      </c>
      <c r="Q4" s="4"/>
      <c r="R4" s="4"/>
      <c r="S4" s="4"/>
      <c r="T4" s="4"/>
      <c r="U4" s="4"/>
      <c r="V4" s="4"/>
      <c r="W4" s="4"/>
    </row>
    <row r="5" spans="1:24" ht="11.25" customHeight="1">
      <c r="A5" s="6"/>
      <c r="X5" s="8" t="s">
        <v>13</v>
      </c>
    </row>
    <row r="6" spans="1:24">
      <c r="C6" s="10" t="s">
        <v>14</v>
      </c>
      <c r="D6" s="10"/>
      <c r="E6" s="10"/>
      <c r="F6" s="10" t="s">
        <v>15</v>
      </c>
      <c r="G6" s="10" t="s">
        <v>16</v>
      </c>
      <c r="H6" s="10" t="s">
        <v>17</v>
      </c>
      <c r="I6" s="10" t="s">
        <v>18</v>
      </c>
      <c r="J6" s="10" t="s">
        <v>19</v>
      </c>
      <c r="K6" s="10"/>
      <c r="L6" s="187" t="s">
        <v>20</v>
      </c>
      <c r="M6" s="188"/>
      <c r="N6" s="189"/>
      <c r="O6" s="190" t="s">
        <v>21</v>
      </c>
      <c r="P6" s="191"/>
      <c r="Q6" s="10" t="s">
        <v>22</v>
      </c>
      <c r="R6" s="10" t="s">
        <v>23</v>
      </c>
      <c r="S6" s="10" t="s">
        <v>24</v>
      </c>
      <c r="T6" s="10" t="s">
        <v>25</v>
      </c>
      <c r="U6" s="10" t="s">
        <v>26</v>
      </c>
      <c r="V6" s="10"/>
      <c r="W6" s="10"/>
      <c r="X6" s="10"/>
    </row>
    <row r="7" spans="1:24" ht="15.75">
      <c r="C7" s="12" t="s">
        <v>27</v>
      </c>
      <c r="D7" s="12" t="s">
        <v>28</v>
      </c>
      <c r="E7" s="12" t="s">
        <v>29</v>
      </c>
      <c r="F7" s="13" t="s">
        <v>30</v>
      </c>
      <c r="G7" s="13" t="s">
        <v>31</v>
      </c>
      <c r="H7" s="12" t="s">
        <v>32</v>
      </c>
      <c r="I7" s="12" t="s">
        <v>33</v>
      </c>
      <c r="J7" s="12" t="s">
        <v>34</v>
      </c>
      <c r="K7" s="12" t="s">
        <v>35</v>
      </c>
      <c r="L7" s="11" t="s">
        <v>36</v>
      </c>
      <c r="M7" s="11" t="s">
        <v>37</v>
      </c>
      <c r="N7" s="14" t="s">
        <v>38</v>
      </c>
      <c r="O7" s="15" t="s">
        <v>36</v>
      </c>
      <c r="P7" s="15" t="s">
        <v>39</v>
      </c>
      <c r="Q7" s="12" t="s">
        <v>40</v>
      </c>
      <c r="R7" s="12" t="s">
        <v>40</v>
      </c>
      <c r="S7" s="12" t="s">
        <v>41</v>
      </c>
      <c r="T7" s="12" t="s">
        <v>42</v>
      </c>
      <c r="U7" s="12" t="s">
        <v>43</v>
      </c>
      <c r="V7" s="16" t="s">
        <v>44</v>
      </c>
      <c r="W7" s="16" t="s">
        <v>45</v>
      </c>
      <c r="X7" s="12" t="s">
        <v>34</v>
      </c>
    </row>
    <row r="8" spans="1:24">
      <c r="B8" s="11" t="s">
        <v>46</v>
      </c>
      <c r="C8" s="23">
        <v>1.2E-2</v>
      </c>
      <c r="D8" s="11" t="s">
        <v>47</v>
      </c>
      <c r="E8" s="14">
        <v>28.013000000000002</v>
      </c>
      <c r="F8" s="14">
        <v>-297.33199999999999</v>
      </c>
      <c r="G8" s="11"/>
      <c r="H8" s="18">
        <v>-346</v>
      </c>
      <c r="I8" s="18">
        <v>493</v>
      </c>
      <c r="J8" s="18">
        <v>-232.7</v>
      </c>
      <c r="K8" s="15">
        <v>0.99997000000000003</v>
      </c>
      <c r="L8" s="15">
        <v>0.80940000000000001</v>
      </c>
      <c r="M8" s="14">
        <f t="shared" ref="M8:M19" si="0">L8*$M$23</f>
        <v>6.7479677999999996</v>
      </c>
      <c r="N8" s="14">
        <f t="shared" ref="N8:N10" si="1">E8/M8</f>
        <v>4.1513238993226977</v>
      </c>
      <c r="O8" s="15">
        <f>$E8/28.97</f>
        <v>0.96696582671729381</v>
      </c>
      <c r="P8" s="15">
        <f>13.102/O8</f>
        <v>13.549599828650983</v>
      </c>
      <c r="Q8" s="11">
        <v>0.24840000000000001</v>
      </c>
      <c r="R8" s="11"/>
      <c r="S8" s="11"/>
      <c r="T8" s="11"/>
      <c r="U8" s="11"/>
      <c r="V8" s="9">
        <v>470</v>
      </c>
      <c r="W8" s="19">
        <v>109</v>
      </c>
      <c r="X8" s="9">
        <f>V8*(1/W8-1/($E$1+460))</f>
        <v>3.2901874750698048</v>
      </c>
    </row>
    <row r="9" spans="1:24">
      <c r="B9" s="11" t="s">
        <v>48</v>
      </c>
      <c r="C9" s="23">
        <f>Compositions!I7</f>
        <v>5.5579379999999991E-2</v>
      </c>
      <c r="D9" s="11" t="s">
        <v>49</v>
      </c>
      <c r="E9" s="14">
        <v>44.01</v>
      </c>
      <c r="F9" s="14">
        <v>-109.32</v>
      </c>
      <c r="G9" s="11"/>
      <c r="H9" s="18">
        <v>-69.77</v>
      </c>
      <c r="I9" s="18">
        <v>1071</v>
      </c>
      <c r="J9" s="18">
        <v>87.87</v>
      </c>
      <c r="K9" s="15">
        <v>0.99429999999999996</v>
      </c>
      <c r="L9" s="15">
        <v>0.81759999999999999</v>
      </c>
      <c r="M9" s="14">
        <f t="shared" si="0"/>
        <v>6.8163311999999996</v>
      </c>
      <c r="N9" s="14">
        <f t="shared" si="1"/>
        <v>6.4565524632957976</v>
      </c>
      <c r="O9" s="15">
        <f t="shared" ref="O9:O24" si="2">$E9/28.97</f>
        <v>1.5191577493959267</v>
      </c>
      <c r="P9" s="15">
        <f t="shared" ref="P9:P24" si="3">13.102/O9</f>
        <v>8.6245157918654858</v>
      </c>
      <c r="Q9" s="11">
        <v>0.19900000000000001</v>
      </c>
      <c r="R9" s="11"/>
      <c r="S9" s="11"/>
      <c r="T9" s="11"/>
      <c r="U9" s="11"/>
      <c r="V9" s="9">
        <v>652</v>
      </c>
      <c r="W9" s="19">
        <v>194</v>
      </c>
      <c r="X9" s="9">
        <f t="shared" ref="X9:X23" si="4">V9*(1/W9-1/($E$1+460))</f>
        <v>1.9434334379202152</v>
      </c>
    </row>
    <row r="10" spans="1:24">
      <c r="B10" s="11" t="s">
        <v>50</v>
      </c>
      <c r="C10" s="23">
        <f>Compositions!I8</f>
        <v>0</v>
      </c>
      <c r="D10" s="11" t="s">
        <v>51</v>
      </c>
      <c r="E10" s="14">
        <v>34.076000000000001</v>
      </c>
      <c r="F10" s="14">
        <v>-76.56</v>
      </c>
      <c r="G10" s="11">
        <v>387.1</v>
      </c>
      <c r="H10" s="18">
        <v>-121.58</v>
      </c>
      <c r="I10" s="18">
        <v>1036</v>
      </c>
      <c r="J10" s="18">
        <v>212.6</v>
      </c>
      <c r="K10" s="15">
        <v>0.99029999999999996</v>
      </c>
      <c r="L10" s="15">
        <v>0.78710000000000002</v>
      </c>
      <c r="M10" s="14">
        <f t="shared" si="0"/>
        <v>6.5620526999999997</v>
      </c>
      <c r="N10" s="14">
        <f t="shared" si="1"/>
        <v>5.1928872805303747</v>
      </c>
      <c r="O10" s="15">
        <f t="shared" si="2"/>
        <v>1.1762512944425267</v>
      </c>
      <c r="P10" s="15">
        <f t="shared" si="3"/>
        <v>11.138776264819814</v>
      </c>
      <c r="Q10" s="11">
        <v>0.2379</v>
      </c>
      <c r="R10" s="11">
        <v>0.49680000000000002</v>
      </c>
      <c r="S10" s="11">
        <v>637</v>
      </c>
      <c r="T10" s="11"/>
      <c r="U10" s="11"/>
      <c r="V10" s="9">
        <v>1136</v>
      </c>
      <c r="W10" s="19">
        <v>331</v>
      </c>
      <c r="X10" s="9">
        <f t="shared" si="4"/>
        <v>0.96245895179298568</v>
      </c>
    </row>
    <row r="11" spans="1:24">
      <c r="B11" s="11" t="s">
        <v>52</v>
      </c>
      <c r="C11" s="23">
        <f>Compositions!I9</f>
        <v>0.7483542133333333</v>
      </c>
      <c r="D11" s="11" t="s">
        <v>53</v>
      </c>
      <c r="E11" s="14">
        <v>16.042999999999999</v>
      </c>
      <c r="F11" s="14">
        <v>-258.7</v>
      </c>
      <c r="G11" s="11">
        <v>5000</v>
      </c>
      <c r="H11" s="18">
        <v>-296.5</v>
      </c>
      <c r="I11" s="18">
        <v>667.8</v>
      </c>
      <c r="J11" s="18">
        <v>-116.68</v>
      </c>
      <c r="K11" s="15">
        <v>0.99809999999999999</v>
      </c>
      <c r="L11" s="15">
        <v>0.3</v>
      </c>
      <c r="M11" s="14">
        <f t="shared" si="0"/>
        <v>2.5010999999999997</v>
      </c>
      <c r="N11" s="14">
        <f>E11/M11</f>
        <v>6.4143776738235179</v>
      </c>
      <c r="O11" s="15">
        <f t="shared" si="2"/>
        <v>0.55377977217811525</v>
      </c>
      <c r="P11" s="15">
        <f t="shared" si="3"/>
        <v>23.659224583930687</v>
      </c>
      <c r="Q11" s="11">
        <v>0.52659999999999996</v>
      </c>
      <c r="R11" s="11"/>
      <c r="S11" s="11">
        <v>1009.7</v>
      </c>
      <c r="T11" s="11"/>
      <c r="U11" s="11"/>
      <c r="V11" s="9">
        <v>300</v>
      </c>
      <c r="W11" s="19">
        <v>94</v>
      </c>
      <c r="X11" s="9">
        <f t="shared" si="4"/>
        <v>2.5393154486586496</v>
      </c>
    </row>
    <row r="12" spans="1:24">
      <c r="B12" s="11" t="s">
        <v>54</v>
      </c>
      <c r="C12" s="23">
        <f>Compositions!I10</f>
        <v>0.10365652333333332</v>
      </c>
      <c r="D12" s="11" t="s">
        <v>55</v>
      </c>
      <c r="E12" s="14">
        <v>30.7</v>
      </c>
      <c r="F12" s="14">
        <v>-127.44</v>
      </c>
      <c r="G12" s="11">
        <v>800</v>
      </c>
      <c r="H12" s="18">
        <v>-297.04000000000002</v>
      </c>
      <c r="I12" s="18">
        <v>707.8</v>
      </c>
      <c r="J12" s="18">
        <v>90.1</v>
      </c>
      <c r="K12" s="15">
        <v>0.99609999999999999</v>
      </c>
      <c r="L12" s="15">
        <v>0.35630000000000001</v>
      </c>
      <c r="M12" s="14">
        <f t="shared" si="0"/>
        <v>2.9704731</v>
      </c>
      <c r="N12" s="14">
        <f t="shared" ref="N12:N23" si="5">E12/M12</f>
        <v>10.335054035668595</v>
      </c>
      <c r="O12" s="15">
        <f t="shared" si="2"/>
        <v>1.0597169485674836</v>
      </c>
      <c r="P12" s="15">
        <f t="shared" si="3"/>
        <v>12.363678827361564</v>
      </c>
      <c r="Q12" s="11">
        <v>0.40799999999999997</v>
      </c>
      <c r="R12" s="11">
        <v>0.92559999999999998</v>
      </c>
      <c r="S12" s="11">
        <v>1768</v>
      </c>
      <c r="T12" s="11">
        <v>65889</v>
      </c>
      <c r="U12" s="14">
        <f t="shared" ref="U12:U22" si="6">N12*C12/0.3795</f>
        <v>2.8229137544124967</v>
      </c>
      <c r="V12" s="9">
        <v>1145</v>
      </c>
      <c r="W12" s="19">
        <v>303</v>
      </c>
      <c r="X12" s="9">
        <f t="shared" si="4"/>
        <v>1.2897474530061701</v>
      </c>
    </row>
    <row r="13" spans="1:24">
      <c r="B13" s="11" t="s">
        <v>56</v>
      </c>
      <c r="C13" s="23">
        <f>Compositions!I11</f>
        <v>4.9144E-2</v>
      </c>
      <c r="D13" s="11" t="s">
        <v>57</v>
      </c>
      <c r="E13" s="14">
        <v>44.097000000000001</v>
      </c>
      <c r="F13" s="14">
        <v>-43.73</v>
      </c>
      <c r="G13" s="11">
        <v>188</v>
      </c>
      <c r="H13" s="18">
        <v>-305.82</v>
      </c>
      <c r="I13" s="18">
        <v>616.29999999999995</v>
      </c>
      <c r="J13" s="18">
        <v>206.1</v>
      </c>
      <c r="K13" s="15">
        <v>0.98080000000000001</v>
      </c>
      <c r="L13" s="15">
        <v>0.50749999999999995</v>
      </c>
      <c r="M13" s="14">
        <f t="shared" si="0"/>
        <v>4.2310274999999997</v>
      </c>
      <c r="N13" s="14">
        <f t="shared" si="5"/>
        <v>10.422291039233379</v>
      </c>
      <c r="O13" s="15">
        <f t="shared" si="2"/>
        <v>1.5221608560579911</v>
      </c>
      <c r="P13" s="15">
        <f t="shared" si="3"/>
        <v>8.6075002834659955</v>
      </c>
      <c r="Q13" s="11">
        <v>0.38869999999999999</v>
      </c>
      <c r="R13" s="11">
        <v>0.59019999999999995</v>
      </c>
      <c r="S13" s="11">
        <v>2517</v>
      </c>
      <c r="T13" s="11">
        <v>90962</v>
      </c>
      <c r="U13" s="14">
        <f t="shared" si="6"/>
        <v>1.3496523605588542</v>
      </c>
      <c r="V13" s="9">
        <v>1799</v>
      </c>
      <c r="W13" s="19">
        <v>416</v>
      </c>
      <c r="X13" s="9">
        <f t="shared" si="4"/>
        <v>0.41364966555183968</v>
      </c>
    </row>
    <row r="14" spans="1:24">
      <c r="B14" s="11" t="s">
        <v>58</v>
      </c>
      <c r="C14" s="23">
        <f>Compositions!I12</f>
        <v>6.4696433333333329E-3</v>
      </c>
      <c r="D14" s="11" t="s">
        <v>59</v>
      </c>
      <c r="E14" s="14">
        <v>58.124000000000002</v>
      </c>
      <c r="F14" s="14">
        <v>10.74</v>
      </c>
      <c r="G14" s="11">
        <v>72.39</v>
      </c>
      <c r="H14" s="18">
        <v>-255.28</v>
      </c>
      <c r="I14" s="18">
        <v>529.1</v>
      </c>
      <c r="J14" s="18">
        <v>274.95999999999998</v>
      </c>
      <c r="K14" s="15">
        <v>0.96609999999999996</v>
      </c>
      <c r="L14" s="15">
        <v>0.56299999999999994</v>
      </c>
      <c r="M14" s="14">
        <f t="shared" si="0"/>
        <v>4.6937309999999997</v>
      </c>
      <c r="N14" s="14">
        <f t="shared" si="5"/>
        <v>12.383325759401211</v>
      </c>
      <c r="O14" s="15">
        <f t="shared" si="2"/>
        <v>2.0063513979979288</v>
      </c>
      <c r="P14" s="15">
        <f t="shared" si="3"/>
        <v>6.5302618539673807</v>
      </c>
      <c r="Q14" s="11">
        <v>0.38669999999999999</v>
      </c>
      <c r="R14" s="11">
        <v>0.56599999999999995</v>
      </c>
      <c r="S14" s="11">
        <v>3252</v>
      </c>
      <c r="T14" s="11">
        <v>98968</v>
      </c>
      <c r="U14" s="14">
        <f t="shared" si="6"/>
        <v>0.21110856638683789</v>
      </c>
      <c r="V14" s="9">
        <v>2037</v>
      </c>
      <c r="W14" s="19">
        <v>471</v>
      </c>
      <c r="X14" s="9">
        <f t="shared" si="4"/>
        <v>-0.10342010523400733</v>
      </c>
    </row>
    <row r="15" spans="1:24">
      <c r="B15" s="11" t="s">
        <v>60</v>
      </c>
      <c r="C15" s="23">
        <f>Compositions!I13</f>
        <v>1.4280399999999999E-2</v>
      </c>
      <c r="D15" s="11" t="s">
        <v>59</v>
      </c>
      <c r="E15" s="14">
        <v>58.124000000000002</v>
      </c>
      <c r="F15" s="14">
        <v>31.12</v>
      </c>
      <c r="G15" s="11">
        <v>51.54</v>
      </c>
      <c r="H15" s="18">
        <v>-217.05</v>
      </c>
      <c r="I15" s="18">
        <v>550.70000000000005</v>
      </c>
      <c r="J15" s="18">
        <v>305.62</v>
      </c>
      <c r="K15" s="15">
        <v>0.93669999999999998</v>
      </c>
      <c r="L15" s="15">
        <v>0.58430000000000004</v>
      </c>
      <c r="M15" s="14">
        <f t="shared" si="0"/>
        <v>4.8713091000000004</v>
      </c>
      <c r="N15" s="14">
        <f t="shared" si="5"/>
        <v>11.931905532334213</v>
      </c>
      <c r="O15" s="15">
        <f t="shared" si="2"/>
        <v>2.0063513979979288</v>
      </c>
      <c r="P15" s="15">
        <f t="shared" si="3"/>
        <v>6.5302618539673807</v>
      </c>
      <c r="Q15" s="11">
        <v>0.39510000000000001</v>
      </c>
      <c r="R15" s="11">
        <v>0.56599999999999995</v>
      </c>
      <c r="S15" s="11">
        <v>3262</v>
      </c>
      <c r="T15" s="11">
        <v>102918</v>
      </c>
      <c r="U15" s="14">
        <f t="shared" si="6"/>
        <v>0.44899178857429634</v>
      </c>
      <c r="V15" s="9">
        <v>2153</v>
      </c>
      <c r="W15" s="19">
        <v>491</v>
      </c>
      <c r="X15" s="9">
        <f t="shared" si="4"/>
        <v>-0.29550606570441912</v>
      </c>
    </row>
    <row r="16" spans="1:24">
      <c r="B16" s="11" t="s">
        <v>61</v>
      </c>
      <c r="C16" s="23">
        <f>Compositions!I14</f>
        <v>3.3084933333333336E-3</v>
      </c>
      <c r="D16" s="11" t="s">
        <v>62</v>
      </c>
      <c r="E16" s="14">
        <v>72.150999999999996</v>
      </c>
      <c r="F16" s="14">
        <v>82.11</v>
      </c>
      <c r="G16" s="11">
        <v>20.443999999999999</v>
      </c>
      <c r="H16" s="18">
        <v>-255.82</v>
      </c>
      <c r="I16" s="18">
        <v>490.4</v>
      </c>
      <c r="J16" s="18">
        <v>369.03</v>
      </c>
      <c r="K16" s="15">
        <v>0.94799999999999995</v>
      </c>
      <c r="L16" s="15">
        <v>0.62439999999999996</v>
      </c>
      <c r="M16" s="14">
        <f t="shared" si="0"/>
        <v>5.2056227999999996</v>
      </c>
      <c r="N16" s="14">
        <f t="shared" si="5"/>
        <v>13.860205161234502</v>
      </c>
      <c r="O16" s="15">
        <f t="shared" si="2"/>
        <v>2.4905419399378665</v>
      </c>
      <c r="P16" s="15">
        <f t="shared" si="3"/>
        <v>5.260702415766934</v>
      </c>
      <c r="Q16" s="11">
        <v>0.38290000000000002</v>
      </c>
      <c r="R16" s="11">
        <v>0.5353</v>
      </c>
      <c r="S16" s="11">
        <v>4000</v>
      </c>
      <c r="T16" s="11">
        <v>108722</v>
      </c>
      <c r="U16" s="14">
        <f t="shared" si="6"/>
        <v>0.12083371903709253</v>
      </c>
      <c r="V16" s="9">
        <v>2368</v>
      </c>
      <c r="W16" s="19">
        <v>542</v>
      </c>
      <c r="X16" s="9">
        <f t="shared" si="4"/>
        <v>-0.77882239691962152</v>
      </c>
    </row>
    <row r="17" spans="2:82">
      <c r="B17" s="11" t="s">
        <v>63</v>
      </c>
      <c r="C17" s="23">
        <f>Compositions!I15</f>
        <v>3.4617033333333332E-3</v>
      </c>
      <c r="D17" s="11" t="s">
        <v>62</v>
      </c>
      <c r="E17" s="14">
        <v>72.150999999999996</v>
      </c>
      <c r="F17" s="14">
        <v>96.91</v>
      </c>
      <c r="G17" s="11">
        <v>15.574999999999999</v>
      </c>
      <c r="H17" s="18">
        <v>-201.51</v>
      </c>
      <c r="I17" s="18">
        <v>488.6</v>
      </c>
      <c r="J17" s="18">
        <v>385.6</v>
      </c>
      <c r="K17" s="15">
        <v>0.94199999999999995</v>
      </c>
      <c r="L17" s="15">
        <v>0.63109999999999999</v>
      </c>
      <c r="M17" s="14">
        <f t="shared" si="0"/>
        <v>5.2614806999999999</v>
      </c>
      <c r="N17" s="14">
        <f t="shared" si="5"/>
        <v>13.713059899659044</v>
      </c>
      <c r="O17" s="15">
        <f t="shared" si="2"/>
        <v>2.4905419399378665</v>
      </c>
      <c r="P17" s="15">
        <f t="shared" si="3"/>
        <v>5.260702415766934</v>
      </c>
      <c r="Q17" s="11">
        <v>0.39900000000000002</v>
      </c>
      <c r="R17" s="11">
        <v>0.54800000000000004</v>
      </c>
      <c r="S17" s="11">
        <v>4008</v>
      </c>
      <c r="T17" s="11">
        <v>110071</v>
      </c>
      <c r="U17" s="14">
        <f t="shared" si="6"/>
        <v>0.12508707553319992</v>
      </c>
      <c r="V17" s="9">
        <v>2480</v>
      </c>
      <c r="W17" s="19">
        <v>557</v>
      </c>
      <c r="X17" s="9">
        <f t="shared" si="4"/>
        <v>-0.93888064944188576</v>
      </c>
    </row>
    <row r="18" spans="2:82">
      <c r="B18" s="11" t="s">
        <v>76</v>
      </c>
      <c r="C18" s="23">
        <f>Compositions!I16</f>
        <v>3.0104900000000306E-3</v>
      </c>
      <c r="D18" s="11" t="s">
        <v>65</v>
      </c>
      <c r="E18" s="14">
        <v>86.177999999999997</v>
      </c>
      <c r="F18" s="14">
        <v>155.72999999999999</v>
      </c>
      <c r="G18" s="11">
        <v>4.96</v>
      </c>
      <c r="H18" s="18">
        <v>-139.58000000000001</v>
      </c>
      <c r="I18" s="18">
        <v>710.4</v>
      </c>
      <c r="J18" s="18">
        <v>453.6</v>
      </c>
      <c r="K18" s="15">
        <v>0.91</v>
      </c>
      <c r="L18" s="15">
        <v>0.66400000000000003</v>
      </c>
      <c r="M18" s="14">
        <f t="shared" si="0"/>
        <v>5.535768</v>
      </c>
      <c r="N18" s="14">
        <f t="shared" si="5"/>
        <v>15.567487654829465</v>
      </c>
      <c r="O18" s="15">
        <f t="shared" si="2"/>
        <v>2.9747324818778047</v>
      </c>
      <c r="P18" s="15">
        <f t="shared" si="3"/>
        <v>4.4044296688249904</v>
      </c>
      <c r="Q18" s="11">
        <v>0.38569999999999999</v>
      </c>
      <c r="R18" s="11">
        <v>0.53320000000000001</v>
      </c>
      <c r="S18" s="11">
        <v>4756</v>
      </c>
      <c r="T18" s="11">
        <v>115055</v>
      </c>
      <c r="U18" s="14">
        <f t="shared" si="6"/>
        <v>0.12349345430826886</v>
      </c>
      <c r="V18" s="9">
        <v>2738</v>
      </c>
      <c r="W18" s="19">
        <v>610</v>
      </c>
      <c r="X18" s="9">
        <f t="shared" si="4"/>
        <v>-1.463649322879544</v>
      </c>
    </row>
    <row r="19" spans="2:82">
      <c r="B19" s="11" t="s">
        <v>75</v>
      </c>
      <c r="C19" s="23">
        <f>Compositions!I17</f>
        <v>4.9864333333333327E-4</v>
      </c>
      <c r="D19" s="11" t="s">
        <v>227</v>
      </c>
      <c r="E19" s="14">
        <v>100.2</v>
      </c>
      <c r="F19" s="14">
        <v>176.16</v>
      </c>
      <c r="G19" s="11">
        <v>3.2250000000000001</v>
      </c>
      <c r="H19" s="18">
        <v>41.96</v>
      </c>
      <c r="I19" s="18">
        <v>710.4</v>
      </c>
      <c r="J19" s="18">
        <v>552.22</v>
      </c>
      <c r="K19" s="15">
        <v>0.92900000000000005</v>
      </c>
      <c r="L19" s="15">
        <v>0.88449999999999995</v>
      </c>
      <c r="M19" s="14">
        <f t="shared" si="0"/>
        <v>7.3740764999999993</v>
      </c>
      <c r="N19" s="14">
        <f t="shared" si="5"/>
        <v>13.588142189737253</v>
      </c>
      <c r="O19" s="15">
        <f t="shared" si="2"/>
        <v>3.4587504314808424</v>
      </c>
      <c r="P19" s="15">
        <f t="shared" si="3"/>
        <v>3.7880732534930139</v>
      </c>
      <c r="Q19" s="11">
        <v>0.2422</v>
      </c>
      <c r="R19" s="11">
        <v>0.4098</v>
      </c>
      <c r="S19" s="11">
        <v>3741</v>
      </c>
      <c r="T19" s="11">
        <v>132651</v>
      </c>
      <c r="U19" s="14">
        <f t="shared" si="6"/>
        <v>1.7854114664816553E-2</v>
      </c>
      <c r="V19" s="20">
        <v>2800</v>
      </c>
      <c r="W19" s="19">
        <v>619</v>
      </c>
      <c r="X19" s="9">
        <f t="shared" si="4"/>
        <v>-1.5635316429022965</v>
      </c>
    </row>
    <row r="20" spans="2:82">
      <c r="B20" s="11" t="s">
        <v>67</v>
      </c>
      <c r="C20" s="23">
        <v>1E-4</v>
      </c>
      <c r="D20" s="11" t="s">
        <v>68</v>
      </c>
      <c r="E20" s="14">
        <v>92.14</v>
      </c>
      <c r="F20" s="14">
        <v>231.13</v>
      </c>
      <c r="G20" s="11">
        <v>1.0029999999999999</v>
      </c>
      <c r="H20" s="18">
        <v>-138.97999999999999</v>
      </c>
      <c r="I20" s="18">
        <v>595.5</v>
      </c>
      <c r="J20" s="18">
        <v>605.57000000000005</v>
      </c>
      <c r="K20" s="15">
        <v>0.90300000000000002</v>
      </c>
      <c r="L20" s="15">
        <v>0.87190000000000001</v>
      </c>
      <c r="M20" s="14">
        <f t="shared" ref="M20:M22" si="7">L20*$M$23</f>
        <v>7.2690302999999998</v>
      </c>
      <c r="N20" s="14">
        <f t="shared" si="5"/>
        <v>12.675693482801965</v>
      </c>
      <c r="O20" s="15">
        <f t="shared" si="2"/>
        <v>3.1805315843976527</v>
      </c>
      <c r="P20" s="15">
        <f t="shared" si="3"/>
        <v>4.1194371608421969</v>
      </c>
      <c r="Q20" s="11">
        <v>0.25979999999999998</v>
      </c>
      <c r="R20" s="11">
        <v>0.40089999999999998</v>
      </c>
      <c r="S20" s="11">
        <v>4475</v>
      </c>
      <c r="T20" s="11">
        <v>132659</v>
      </c>
      <c r="U20" s="14">
        <f t="shared" si="6"/>
        <v>3.3401036845327968E-3</v>
      </c>
      <c r="V20" s="11">
        <v>3000</v>
      </c>
      <c r="W20" s="7">
        <v>800</v>
      </c>
      <c r="X20" s="9">
        <f t="shared" si="4"/>
        <v>-2.7717391304347827</v>
      </c>
    </row>
    <row r="21" spans="2:82">
      <c r="B21" s="11" t="s">
        <v>69</v>
      </c>
      <c r="C21" s="23">
        <v>6.6626666666666663E-5</v>
      </c>
      <c r="D21" s="11" t="s">
        <v>71</v>
      </c>
      <c r="E21" s="14">
        <v>106.167</v>
      </c>
      <c r="F21" s="14">
        <v>277.16000000000003</v>
      </c>
      <c r="G21" s="11">
        <v>0.37159999999999999</v>
      </c>
      <c r="H21" s="18">
        <v>-138.96</v>
      </c>
      <c r="I21" s="18">
        <v>523.4</v>
      </c>
      <c r="J21" s="18">
        <v>651.29</v>
      </c>
      <c r="K21" s="15">
        <v>0.9</v>
      </c>
      <c r="L21" s="15">
        <v>0.87170000000000003</v>
      </c>
      <c r="M21" s="14">
        <f t="shared" si="7"/>
        <v>7.2673629000000002</v>
      </c>
      <c r="N21" s="14">
        <f t="shared" si="5"/>
        <v>14.608737923353187</v>
      </c>
      <c r="O21" s="15">
        <f t="shared" si="2"/>
        <v>3.6647221263375909</v>
      </c>
      <c r="P21" s="15">
        <f t="shared" si="3"/>
        <v>3.5751687435832227</v>
      </c>
      <c r="Q21" s="11">
        <v>0.27950000000000003</v>
      </c>
      <c r="R21" s="11">
        <v>0.4113</v>
      </c>
      <c r="S21" s="11">
        <v>5222</v>
      </c>
      <c r="T21" s="11">
        <v>134381</v>
      </c>
      <c r="U21" s="14">
        <f t="shared" si="6"/>
        <v>2.5647734177600659E-3</v>
      </c>
      <c r="V21" s="11">
        <v>4200</v>
      </c>
      <c r="W21" s="7">
        <v>850</v>
      </c>
      <c r="X21" s="9">
        <f t="shared" si="4"/>
        <v>-4.1892583120204607</v>
      </c>
    </row>
    <row r="22" spans="2:82">
      <c r="B22" s="11" t="s">
        <v>70</v>
      </c>
      <c r="C22" s="23">
        <v>6.6626666666666663E-5</v>
      </c>
      <c r="D22" s="11" t="s">
        <v>71</v>
      </c>
      <c r="E22" s="14">
        <v>106.16</v>
      </c>
      <c r="F22" s="14">
        <v>291.97000000000003</v>
      </c>
      <c r="G22" s="11">
        <v>0.26429999999999998</v>
      </c>
      <c r="H22" s="18">
        <v>-13.32</v>
      </c>
      <c r="I22" s="18">
        <v>541.6</v>
      </c>
      <c r="J22" s="18">
        <v>674.92</v>
      </c>
      <c r="K22" s="15">
        <v>0.9</v>
      </c>
      <c r="L22" s="15">
        <v>0.88470000000000004</v>
      </c>
      <c r="M22" s="14">
        <f t="shared" si="7"/>
        <v>7.3757438999999998</v>
      </c>
      <c r="N22" s="14">
        <f t="shared" si="5"/>
        <v>14.393124468434973</v>
      </c>
      <c r="O22" s="15">
        <f t="shared" si="2"/>
        <v>3.6644804970659304</v>
      </c>
      <c r="P22" s="15">
        <f t="shared" si="3"/>
        <v>3.5754044837980405</v>
      </c>
      <c r="Q22" s="11">
        <v>0.29139999999999999</v>
      </c>
      <c r="R22" s="11">
        <v>0.41610000000000003</v>
      </c>
      <c r="S22" s="11">
        <v>5209</v>
      </c>
      <c r="T22" s="11">
        <v>136036</v>
      </c>
      <c r="U22" s="14">
        <f t="shared" si="6"/>
        <v>2.526919384058658E-3</v>
      </c>
      <c r="V22" s="11">
        <v>4200</v>
      </c>
      <c r="W22" s="7">
        <v>880</v>
      </c>
      <c r="X22" s="9">
        <f t="shared" si="4"/>
        <v>-4.3577075098814229</v>
      </c>
    </row>
    <row r="23" spans="2:82">
      <c r="B23" s="11" t="s">
        <v>72</v>
      </c>
      <c r="C23" s="23">
        <v>0</v>
      </c>
      <c r="D23" s="11" t="s">
        <v>73</v>
      </c>
      <c r="E23" s="14">
        <v>18.015000000000001</v>
      </c>
      <c r="F23" s="14">
        <v>212</v>
      </c>
      <c r="G23" s="11">
        <v>0.94950000000000001</v>
      </c>
      <c r="H23" s="18">
        <v>32</v>
      </c>
      <c r="I23" s="18">
        <v>3207.9</v>
      </c>
      <c r="J23" s="18">
        <v>705.5</v>
      </c>
      <c r="K23" s="15">
        <v>0.34339999999999998</v>
      </c>
      <c r="L23" s="15">
        <v>1</v>
      </c>
      <c r="M23" s="14">
        <v>8.3369999999999997</v>
      </c>
      <c r="N23" s="14">
        <f t="shared" si="5"/>
        <v>2.1608492263404102</v>
      </c>
      <c r="O23" s="15">
        <f t="shared" si="2"/>
        <v>0.62185018985157059</v>
      </c>
      <c r="P23" s="15">
        <f t="shared" si="3"/>
        <v>21.06938329170136</v>
      </c>
      <c r="Q23" s="11">
        <v>0.44469999999999998</v>
      </c>
      <c r="R23" s="11">
        <v>1.0009999999999999</v>
      </c>
      <c r="S23" s="11">
        <v>49</v>
      </c>
      <c r="T23" s="11">
        <v>0</v>
      </c>
      <c r="U23" s="14"/>
      <c r="V23" s="11">
        <v>2000</v>
      </c>
      <c r="W23" s="7">
        <v>400</v>
      </c>
      <c r="X23" s="9">
        <f t="shared" si="4"/>
        <v>0.65217391304347827</v>
      </c>
    </row>
    <row r="24" spans="2:82" s="1" customFormat="1">
      <c r="B24" s="9" t="s">
        <v>97</v>
      </c>
      <c r="C24" s="21">
        <f>SUM(C8:C23)</f>
        <v>0.99999674333333322</v>
      </c>
      <c r="D24" s="9"/>
      <c r="E24" s="14">
        <f t="shared" ref="E24:N24" si="8">E8*$C8+E9*$C9+E10*$C10+E11*$C11+E12*$C12+E13*$C13+E14*$C14+E15*$C15+E16*$C16+E17*$C17+E18*$C18+E19*$C19+E20*$C20+E21*$C21+E22*$C22+E23*$C23</f>
        <v>22.164724080516663</v>
      </c>
      <c r="F24" s="14">
        <f t="shared" si="8"/>
        <v>-216.86349033739998</v>
      </c>
      <c r="G24" s="14">
        <f t="shared" si="8"/>
        <v>3835.277944320404</v>
      </c>
      <c r="H24" s="14">
        <f t="shared" si="8"/>
        <v>-282.45455236896674</v>
      </c>
      <c r="I24" s="14">
        <f t="shared" si="8"/>
        <v>686.07256772633309</v>
      </c>
      <c r="J24" s="14">
        <f t="shared" si="8"/>
        <v>-55.269706222599993</v>
      </c>
      <c r="K24" s="15">
        <f t="shared" si="8"/>
        <v>0.99508441883533316</v>
      </c>
      <c r="L24" s="14">
        <f>M24/M23</f>
        <v>0.36041534394499991</v>
      </c>
      <c r="M24" s="14">
        <f t="shared" si="8"/>
        <v>3.0047827224694643</v>
      </c>
      <c r="N24" s="14">
        <f t="shared" si="8"/>
        <v>7.1930587638270804</v>
      </c>
      <c r="O24" s="173">
        <f t="shared" si="2"/>
        <v>0.76509230516108606</v>
      </c>
      <c r="P24" s="172">
        <f t="shared" si="3"/>
        <v>17.124731109720734</v>
      </c>
      <c r="Q24" s="14">
        <f>Q8*$C8+Q9*$C9+Q10*$C10+Q11*$C11+Q12*$C12+Q13*$C13+Q14*$C14+Q15*$C15+Q16*$C16+Q17*$C17+Q18*$C18+Q19*$C19+Q20*$C20+Q21*$C21+Q22*$C22+Q23*$C23</f>
        <v>0.48165653309799983</v>
      </c>
      <c r="R24" s="14">
        <f t="shared" ref="R24:T24" si="9">R8*$C8+R9*$C9+R10*$C10+R11*$C11+R12*$C12+R13*$C13+R14*$C14+R15*$C15+R16*$C16+R17*$C17+R18*$C18+R19*$C19+R20*$C20+R21*$C21+R22*$C22+R23*$C23</f>
        <v>0.14226659544199996</v>
      </c>
      <c r="S24" s="14">
        <f t="shared" si="9"/>
        <v>1174.6296535793333</v>
      </c>
      <c r="T24" s="14">
        <f t="shared" si="9"/>
        <v>14594.598569393334</v>
      </c>
      <c r="U24" s="22">
        <f>SUM(U12:U22)</f>
        <v>5.2283666299622134</v>
      </c>
      <c r="V24" s="2"/>
      <c r="W24" s="2"/>
      <c r="X24" s="11"/>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row>
    <row r="25" spans="2:82">
      <c r="E25" s="3"/>
      <c r="F25" s="3"/>
      <c r="G25" s="3"/>
      <c r="H25" s="3"/>
      <c r="I25" s="3"/>
      <c r="J25" s="3"/>
      <c r="K25" s="3"/>
      <c r="L25" s="3"/>
      <c r="M25" s="3"/>
      <c r="O25" s="3"/>
      <c r="P25" s="4" t="s">
        <v>139</v>
      </c>
      <c r="Q25" s="3"/>
      <c r="R25" s="3"/>
      <c r="S25" s="3"/>
      <c r="T25" s="3"/>
      <c r="U25" s="3"/>
    </row>
    <row r="26" spans="2:82">
      <c r="B26" s="2" t="s">
        <v>98</v>
      </c>
    </row>
    <row r="29" spans="2:82" ht="15.75">
      <c r="B29" s="82" t="s">
        <v>129</v>
      </c>
      <c r="C29" s="177" t="s">
        <v>6</v>
      </c>
      <c r="D29" s="129"/>
      <c r="E29" s="84"/>
    </row>
    <row r="30" spans="2:82" ht="6.95" customHeight="1">
      <c r="B30" s="85"/>
      <c r="C30" s="24"/>
      <c r="D30" s="24"/>
      <c r="E30" s="86"/>
    </row>
    <row r="31" spans="2:82">
      <c r="B31" s="85"/>
      <c r="C31" s="24"/>
      <c r="D31" s="2" t="s">
        <v>7</v>
      </c>
      <c r="E31" s="178" t="s">
        <v>8</v>
      </c>
    </row>
    <row r="32" spans="2:82">
      <c r="B32" s="87" t="s">
        <v>9</v>
      </c>
      <c r="C32" s="24"/>
      <c r="D32" s="2">
        <v>1.47E-2</v>
      </c>
      <c r="E32" s="179">
        <f>D32/1488</f>
        <v>9.8790322580645156E-6</v>
      </c>
    </row>
    <row r="33" spans="2:5">
      <c r="B33" s="87" t="s">
        <v>10</v>
      </c>
      <c r="C33" s="24"/>
      <c r="D33" s="2">
        <v>1.5100000000000001E-2</v>
      </c>
      <c r="E33" s="179">
        <f>D33/1488</f>
        <v>1.0147849462365591E-5</v>
      </c>
    </row>
    <row r="34" spans="2:5">
      <c r="B34" s="87" t="s">
        <v>11</v>
      </c>
      <c r="C34" s="24"/>
      <c r="D34" s="2">
        <v>1.5800000000000002E-2</v>
      </c>
      <c r="E34" s="179">
        <f>D34/1488</f>
        <v>1.0618279569892475E-5</v>
      </c>
    </row>
    <row r="35" spans="2:5">
      <c r="B35" s="88" t="s">
        <v>12</v>
      </c>
      <c r="C35" s="89"/>
      <c r="D35" s="90">
        <f>AVERAGE(D32:D34)</f>
        <v>1.52E-2</v>
      </c>
      <c r="E35" s="180">
        <f>AVERAGE(E32:E34)</f>
        <v>1.0215053763440861E-5</v>
      </c>
    </row>
  </sheetData>
  <protectedRanges>
    <protectedRange sqref="V11:W19" name="نطاق3_1"/>
    <protectedRange sqref="V7:W7" name="نطاق3_2"/>
    <protectedRange sqref="X8:X23" name="نطاق3_4"/>
    <protectedRange sqref="X5" name="نطاق3_8"/>
  </protectedRanges>
  <scenarios current="0">
    <scenario name="flash 1" count="1" user="Wayne Landon" comment="Created by Wayne Landon on 2/28/2025">
      <inputCells r="AA1" val="0.982119957531923"/>
    </scenario>
  </scenarios>
  <mergeCells count="2">
    <mergeCell ref="L6:N6"/>
    <mergeCell ref="O6:P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D703B-C236-4FAD-8888-EB02184A4E0C}">
  <sheetPr codeName="Sheet7">
    <tabColor rgb="FFFF66FF"/>
    <pageSetUpPr fitToPage="1"/>
  </sheetPr>
  <dimension ref="B1:V29"/>
  <sheetViews>
    <sheetView workbookViewId="0"/>
  </sheetViews>
  <sheetFormatPr defaultRowHeight="15"/>
  <cols>
    <col min="1" max="1" width="5.28515625" customWidth="1"/>
    <col min="2" max="2" width="21.28515625" customWidth="1"/>
    <col min="3" max="3" width="9.7109375" hidden="1" customWidth="1"/>
    <col min="4" max="5" width="11.140625" hidden="1" customWidth="1"/>
    <col min="7" max="7" width="8.7109375" customWidth="1"/>
    <col min="10" max="10" width="10.28515625" customWidth="1"/>
  </cols>
  <sheetData>
    <row r="1" spans="2:22" s="24" customFormat="1" ht="21">
      <c r="B1" s="75" t="s">
        <v>77</v>
      </c>
    </row>
    <row r="2" spans="2:22" s="24" customFormat="1" ht="15.75" thickBot="1"/>
    <row r="3" spans="2:22" s="24" customFormat="1" ht="15.75" thickBot="1">
      <c r="F3" s="25"/>
      <c r="G3" s="26" t="s">
        <v>78</v>
      </c>
      <c r="H3" s="27"/>
      <c r="I3" s="27"/>
      <c r="J3" s="28" t="s">
        <v>79</v>
      </c>
      <c r="K3" s="25"/>
      <c r="L3" s="27"/>
      <c r="M3" s="27"/>
      <c r="N3" s="27"/>
      <c r="O3" s="26" t="s">
        <v>80</v>
      </c>
      <c r="P3" s="27"/>
      <c r="Q3" s="27"/>
      <c r="R3" s="27"/>
      <c r="S3" s="27"/>
      <c r="T3" s="27"/>
      <c r="U3" s="27"/>
      <c r="V3" s="29"/>
    </row>
    <row r="4" spans="2:22">
      <c r="B4" s="30" t="s">
        <v>81</v>
      </c>
      <c r="C4" s="31">
        <v>1</v>
      </c>
      <c r="D4" s="32">
        <v>2</v>
      </c>
      <c r="E4" s="33">
        <v>3</v>
      </c>
      <c r="F4" s="34">
        <v>1</v>
      </c>
      <c r="G4" s="32">
        <v>2</v>
      </c>
      <c r="H4" s="32">
        <v>3</v>
      </c>
      <c r="I4" s="33" t="s">
        <v>12</v>
      </c>
      <c r="J4" s="35">
        <v>7</v>
      </c>
      <c r="K4" s="34">
        <v>4</v>
      </c>
      <c r="L4" s="32">
        <v>5</v>
      </c>
      <c r="M4" s="32">
        <v>6</v>
      </c>
      <c r="N4" s="32">
        <v>7</v>
      </c>
      <c r="O4" s="32">
        <v>8</v>
      </c>
      <c r="P4" s="32">
        <v>9</v>
      </c>
      <c r="Q4" s="32">
        <v>10</v>
      </c>
      <c r="R4" s="32">
        <v>11</v>
      </c>
      <c r="S4" s="32">
        <v>12</v>
      </c>
      <c r="T4" s="32">
        <v>13</v>
      </c>
      <c r="U4" s="32">
        <v>14</v>
      </c>
      <c r="V4" s="36">
        <v>15</v>
      </c>
    </row>
    <row r="5" spans="2:22" s="24" customFormat="1">
      <c r="B5" s="37" t="s">
        <v>82</v>
      </c>
      <c r="C5" s="38" t="s">
        <v>27</v>
      </c>
      <c r="D5" s="12" t="s">
        <v>27</v>
      </c>
      <c r="E5" s="39" t="s">
        <v>27</v>
      </c>
      <c r="F5" s="40" t="s">
        <v>27</v>
      </c>
      <c r="G5" s="12" t="s">
        <v>27</v>
      </c>
      <c r="H5" s="12" t="s">
        <v>27</v>
      </c>
      <c r="I5" s="7" t="s">
        <v>27</v>
      </c>
      <c r="J5" s="37" t="s">
        <v>27</v>
      </c>
      <c r="K5" s="40" t="s">
        <v>27</v>
      </c>
      <c r="L5" s="12" t="s">
        <v>27</v>
      </c>
      <c r="M5" s="12" t="s">
        <v>27</v>
      </c>
      <c r="N5" s="12" t="s">
        <v>27</v>
      </c>
      <c r="O5" s="12" t="s">
        <v>27</v>
      </c>
      <c r="P5" s="12" t="s">
        <v>27</v>
      </c>
      <c r="Q5" s="12" t="s">
        <v>27</v>
      </c>
      <c r="R5" s="12" t="s">
        <v>27</v>
      </c>
      <c r="S5" s="12" t="s">
        <v>27</v>
      </c>
      <c r="T5" s="12" t="s">
        <v>27</v>
      </c>
      <c r="U5" s="12" t="s">
        <v>27</v>
      </c>
      <c r="V5" s="41" t="s">
        <v>27</v>
      </c>
    </row>
    <row r="6" spans="2:22" s="24" customFormat="1">
      <c r="B6" s="37" t="s">
        <v>46</v>
      </c>
      <c r="C6" s="42">
        <v>5.0000000000000001E-3</v>
      </c>
      <c r="D6" s="17">
        <v>5.0000000000000001E-3</v>
      </c>
      <c r="E6" s="43">
        <v>5.0000000000000001E-3</v>
      </c>
      <c r="F6" s="44">
        <v>6.0549999999999996E-3</v>
      </c>
      <c r="G6" s="17">
        <v>1.4870000000000001E-2</v>
      </c>
      <c r="H6" s="17">
        <v>1.5059650000000001E-2</v>
      </c>
      <c r="I6" s="43">
        <v>1.1994883333333333E-2</v>
      </c>
      <c r="J6" s="45">
        <v>6.9999999999999999E-4</v>
      </c>
      <c r="K6" s="44">
        <v>5.0000000000000001E-3</v>
      </c>
      <c r="L6" s="17">
        <v>5.0000000000000001E-3</v>
      </c>
      <c r="M6" s="17">
        <v>5.0000000000000001E-3</v>
      </c>
      <c r="N6" s="17">
        <v>5.0000000000000001E-3</v>
      </c>
      <c r="O6" s="17">
        <v>5.0000000000000001E-3</v>
      </c>
      <c r="P6" s="17">
        <v>5.0000000000000001E-3</v>
      </c>
      <c r="Q6" s="17">
        <v>5.0000000000000001E-3</v>
      </c>
      <c r="R6" s="17">
        <v>5.0000000000000001E-3</v>
      </c>
      <c r="S6" s="17">
        <v>5.0000000000000001E-3</v>
      </c>
      <c r="T6" s="17">
        <v>5.0000000000000001E-3</v>
      </c>
      <c r="U6" s="17">
        <v>5.0000000000000001E-3</v>
      </c>
      <c r="V6" s="46">
        <v>5.0000000000000001E-3</v>
      </c>
    </row>
    <row r="7" spans="2:22" s="24" customFormat="1">
      <c r="B7" s="37" t="s">
        <v>48</v>
      </c>
      <c r="C7" s="42">
        <v>2.5000000000000001E-2</v>
      </c>
      <c r="D7" s="17">
        <v>2.5000000000000001E-2</v>
      </c>
      <c r="E7" s="43">
        <v>2.5000000000000001E-2</v>
      </c>
      <c r="F7" s="44">
        <v>1.5399999999999999E-3</v>
      </c>
      <c r="G7" s="17">
        <v>6.2899999999999998E-2</v>
      </c>
      <c r="H7" s="17">
        <v>0.10229814</v>
      </c>
      <c r="I7" s="43">
        <v>5.5579379999999991E-2</v>
      </c>
      <c r="J7" s="45">
        <v>1.37E-2</v>
      </c>
      <c r="K7" s="44">
        <v>2.5000000000000001E-2</v>
      </c>
      <c r="L7" s="17">
        <v>0.03</v>
      </c>
      <c r="M7" s="17">
        <v>0.03</v>
      </c>
      <c r="N7" s="17">
        <v>0.03</v>
      </c>
      <c r="O7" s="17">
        <v>0.03</v>
      </c>
      <c r="P7" s="17">
        <v>3.2000000000000001E-2</v>
      </c>
      <c r="Q7" s="17">
        <v>3.3000000000000002E-2</v>
      </c>
      <c r="R7" s="17">
        <v>3.3000000000000002E-2</v>
      </c>
      <c r="S7" s="17">
        <v>3.3000000000000002E-2</v>
      </c>
      <c r="T7" s="17">
        <v>3.4000000000000002E-2</v>
      </c>
      <c r="U7" s="17">
        <v>3.5000000000000003E-2</v>
      </c>
      <c r="V7" s="46">
        <v>3.4000000000000002E-2</v>
      </c>
    </row>
    <row r="8" spans="2:22" s="24" customFormat="1">
      <c r="B8" s="37" t="s">
        <v>50</v>
      </c>
      <c r="C8" s="42">
        <v>0</v>
      </c>
      <c r="D8" s="17">
        <v>0</v>
      </c>
      <c r="E8" s="43">
        <v>0</v>
      </c>
      <c r="F8" s="44">
        <v>0</v>
      </c>
      <c r="G8" s="17">
        <v>0</v>
      </c>
      <c r="H8" s="17">
        <v>0</v>
      </c>
      <c r="I8" s="43">
        <v>0</v>
      </c>
      <c r="J8" s="45">
        <v>0</v>
      </c>
      <c r="K8" s="44">
        <v>0</v>
      </c>
      <c r="L8" s="17">
        <v>0</v>
      </c>
      <c r="M8" s="17">
        <v>0</v>
      </c>
      <c r="N8" s="17">
        <v>0</v>
      </c>
      <c r="O8" s="17">
        <v>0</v>
      </c>
      <c r="P8" s="17">
        <v>0</v>
      </c>
      <c r="Q8" s="17">
        <v>0</v>
      </c>
      <c r="R8" s="17">
        <v>0</v>
      </c>
      <c r="S8" s="17">
        <v>0</v>
      </c>
      <c r="T8" s="17">
        <v>0</v>
      </c>
      <c r="U8" s="17">
        <v>0</v>
      </c>
      <c r="V8" s="46">
        <v>0</v>
      </c>
    </row>
    <row r="9" spans="2:22" s="24" customFormat="1">
      <c r="B9" s="37" t="s">
        <v>52</v>
      </c>
      <c r="C9" s="42">
        <v>0.87250000000000005</v>
      </c>
      <c r="D9" s="17">
        <v>0.877</v>
      </c>
      <c r="E9" s="43">
        <v>0.88100000000000001</v>
      </c>
      <c r="F9" s="44">
        <v>0.80165999999999993</v>
      </c>
      <c r="G9" s="17">
        <v>0.71806999999999999</v>
      </c>
      <c r="H9" s="17">
        <v>0.72533263999999997</v>
      </c>
      <c r="I9" s="43">
        <v>0.7483542133333333</v>
      </c>
      <c r="J9" s="45">
        <v>0.69399999999999995</v>
      </c>
      <c r="K9" s="44">
        <v>0.88470000000000004</v>
      </c>
      <c r="L9" s="17">
        <v>0.83199999999999996</v>
      </c>
      <c r="M9" s="17">
        <v>0.84130000000000005</v>
      </c>
      <c r="N9" s="17">
        <v>0.84350000000000003</v>
      </c>
      <c r="O9" s="17">
        <v>0.83199999999999996</v>
      </c>
      <c r="P9" s="17">
        <v>0.82</v>
      </c>
      <c r="Q9" s="17">
        <v>0.8</v>
      </c>
      <c r="R9" s="17">
        <v>0.79</v>
      </c>
      <c r="S9" s="17">
        <v>0.77500000000000002</v>
      </c>
      <c r="T9" s="17">
        <v>0.75</v>
      </c>
      <c r="U9" s="17">
        <v>0.73</v>
      </c>
      <c r="V9" s="46">
        <v>0.7</v>
      </c>
    </row>
    <row r="10" spans="2:22" s="24" customFormat="1">
      <c r="B10" s="37" t="s">
        <v>54</v>
      </c>
      <c r="C10" s="42">
        <v>5.0999999999999997E-2</v>
      </c>
      <c r="D10" s="17">
        <v>5.2999999999999999E-2</v>
      </c>
      <c r="E10" s="43">
        <v>5.2999999999999999E-2</v>
      </c>
      <c r="F10" s="44">
        <v>0.11187999999999999</v>
      </c>
      <c r="G10" s="17">
        <v>0.11173</v>
      </c>
      <c r="H10" s="17">
        <v>8.7359570000000011E-2</v>
      </c>
      <c r="I10" s="43">
        <v>0.10365652333333332</v>
      </c>
      <c r="J10" s="45">
        <v>0.13550000000000001</v>
      </c>
      <c r="K10" s="44">
        <v>5.1999999999999998E-2</v>
      </c>
      <c r="L10" s="17">
        <v>7.1999999999999995E-2</v>
      </c>
      <c r="M10" s="17">
        <v>7.1999999999999995E-2</v>
      </c>
      <c r="N10" s="17">
        <v>7.1999999999999995E-2</v>
      </c>
      <c r="O10" s="17">
        <v>7.1999999999999995E-2</v>
      </c>
      <c r="P10" s="17">
        <v>7.51E-2</v>
      </c>
      <c r="Q10" s="17">
        <v>7.9299999999999995E-2</v>
      </c>
      <c r="R10" s="17">
        <v>8.3699999999999997E-2</v>
      </c>
      <c r="S10" s="17">
        <v>8.8999999999999996E-2</v>
      </c>
      <c r="T10" s="17">
        <v>9.6500000000000002E-2</v>
      </c>
      <c r="U10" s="17">
        <v>0.10249999999999999</v>
      </c>
      <c r="V10" s="46">
        <v>0.115</v>
      </c>
    </row>
    <row r="11" spans="2:22" s="24" customFormat="1">
      <c r="B11" s="37" t="s">
        <v>56</v>
      </c>
      <c r="C11" s="42">
        <v>1.7999999999999999E-2</v>
      </c>
      <c r="D11" s="17">
        <v>1.9E-2</v>
      </c>
      <c r="E11" s="43">
        <v>1.8499999999999999E-2</v>
      </c>
      <c r="F11" s="44">
        <v>4.691E-2</v>
      </c>
      <c r="G11" s="17">
        <v>5.901E-2</v>
      </c>
      <c r="H11" s="17">
        <v>4.1512E-2</v>
      </c>
      <c r="I11" s="43">
        <v>4.9144E-2</v>
      </c>
      <c r="J11" s="45">
        <v>6.6400000000000001E-2</v>
      </c>
      <c r="K11" s="44">
        <v>1.8499999999999999E-2</v>
      </c>
      <c r="L11" s="17">
        <v>3.0200000000000001E-2</v>
      </c>
      <c r="M11" s="17">
        <v>3.0200000000000001E-2</v>
      </c>
      <c r="N11" s="17">
        <v>3.0200000000000001E-2</v>
      </c>
      <c r="O11" s="17">
        <v>3.0200000000000001E-2</v>
      </c>
      <c r="P11" s="17">
        <v>3.3000000000000002E-2</v>
      </c>
      <c r="Q11" s="17">
        <v>4.2000000000000003E-2</v>
      </c>
      <c r="R11" s="17">
        <v>4.4999999999999998E-2</v>
      </c>
      <c r="S11" s="17">
        <v>4.8500000000000001E-2</v>
      </c>
      <c r="T11" s="17">
        <v>5.6500000000000002E-2</v>
      </c>
      <c r="U11" s="17">
        <v>6.1199999999999997E-2</v>
      </c>
      <c r="V11" s="46">
        <v>6.5000000000000002E-2</v>
      </c>
    </row>
    <row r="12" spans="2:22" s="24" customFormat="1">
      <c r="B12" s="37" t="s">
        <v>58</v>
      </c>
      <c r="C12" s="42">
        <v>4.0000000000000001E-3</v>
      </c>
      <c r="D12" s="17">
        <v>2E-3</v>
      </c>
      <c r="E12" s="43">
        <v>1.5E-3</v>
      </c>
      <c r="F12" s="44">
        <v>7.62E-3</v>
      </c>
      <c r="G12" s="17">
        <v>7.2199999999999999E-3</v>
      </c>
      <c r="H12" s="17">
        <v>4.5689299999999997E-3</v>
      </c>
      <c r="I12" s="43">
        <v>6.4696433333333329E-3</v>
      </c>
      <c r="J12" s="45">
        <v>1.5599999999999999E-2</v>
      </c>
      <c r="K12" s="44">
        <v>8.0000000000000004E-4</v>
      </c>
      <c r="L12" s="17">
        <v>3.5000000000000001E-3</v>
      </c>
      <c r="M12" s="17">
        <v>2.5000000000000001E-3</v>
      </c>
      <c r="N12" s="17">
        <v>2.5000000000000001E-3</v>
      </c>
      <c r="O12" s="17">
        <v>3.5000000000000001E-3</v>
      </c>
      <c r="P12" s="17">
        <v>4.1999999999999997E-3</v>
      </c>
      <c r="Q12" s="17">
        <v>4.4999999999999997E-3</v>
      </c>
      <c r="R12" s="17">
        <v>4.7000000000000002E-3</v>
      </c>
      <c r="S12" s="17">
        <v>6.0000000000000001E-3</v>
      </c>
      <c r="T12" s="17">
        <v>8.5000000000000006E-3</v>
      </c>
      <c r="U12" s="17">
        <v>9.4999999999999998E-3</v>
      </c>
      <c r="V12" s="46">
        <v>1.2500000000000001E-2</v>
      </c>
    </row>
    <row r="13" spans="2:22" s="24" customFormat="1">
      <c r="B13" s="37" t="s">
        <v>60</v>
      </c>
      <c r="C13" s="42">
        <v>4.0000000000000001E-3</v>
      </c>
      <c r="D13" s="17">
        <v>3.0000000000000001E-3</v>
      </c>
      <c r="E13" s="43">
        <v>2.5000000000000001E-3</v>
      </c>
      <c r="F13" s="44">
        <v>1.4785E-2</v>
      </c>
      <c r="G13" s="17">
        <v>1.627E-2</v>
      </c>
      <c r="H13" s="17">
        <v>1.17862E-2</v>
      </c>
      <c r="I13" s="43">
        <v>1.4280399999999999E-2</v>
      </c>
      <c r="J13" s="45">
        <v>2.4199999999999999E-2</v>
      </c>
      <c r="K13" s="44">
        <v>1.5E-3</v>
      </c>
      <c r="L13" s="17">
        <v>6.0000000000000001E-3</v>
      </c>
      <c r="M13" s="17">
        <v>4.4999999999999997E-3</v>
      </c>
      <c r="N13" s="17">
        <v>3.5000000000000001E-3</v>
      </c>
      <c r="O13" s="17">
        <v>6.0000000000000001E-3</v>
      </c>
      <c r="P13" s="17">
        <v>6.7999999999999996E-3</v>
      </c>
      <c r="Q13" s="17">
        <v>1.0999999999999999E-2</v>
      </c>
      <c r="R13" s="17">
        <v>1.2E-2</v>
      </c>
      <c r="S13" s="17">
        <v>1.4999999999999999E-2</v>
      </c>
      <c r="T13" s="17">
        <v>1.8700000000000001E-2</v>
      </c>
      <c r="U13" s="17">
        <v>2.1000000000000001E-2</v>
      </c>
      <c r="V13" s="46">
        <v>2.53E-2</v>
      </c>
    </row>
    <row r="14" spans="2:22" s="24" customFormat="1">
      <c r="B14" s="37" t="s">
        <v>61</v>
      </c>
      <c r="C14" s="42">
        <v>2.2000000000000001E-3</v>
      </c>
      <c r="D14" s="17">
        <v>1.1000000000000001E-3</v>
      </c>
      <c r="E14" s="43">
        <v>5.0000000000000001E-4</v>
      </c>
      <c r="F14" s="44">
        <v>3.4150000000000001E-3</v>
      </c>
      <c r="G14" s="17">
        <v>3.6099999999999999E-3</v>
      </c>
      <c r="H14" s="17">
        <v>2.9004799999999996E-3</v>
      </c>
      <c r="I14" s="43">
        <v>3.3084933333333336E-3</v>
      </c>
      <c r="J14" s="45">
        <v>8.5000000000000006E-3</v>
      </c>
      <c r="K14" s="44">
        <v>2.5000000000000001E-4</v>
      </c>
      <c r="L14" s="17">
        <v>1.8E-3</v>
      </c>
      <c r="M14" s="17">
        <v>5.0000000000000001E-4</v>
      </c>
      <c r="N14" s="17">
        <v>2.5000000000000001E-4</v>
      </c>
      <c r="O14" s="17">
        <v>1.8E-3</v>
      </c>
      <c r="P14" s="17">
        <v>2.5000000000000001E-3</v>
      </c>
      <c r="Q14" s="17">
        <v>2.5000000000000001E-3</v>
      </c>
      <c r="R14" s="17">
        <v>2.8E-3</v>
      </c>
      <c r="S14" s="17">
        <v>3.5000000000000001E-3</v>
      </c>
      <c r="T14" s="17">
        <v>4.0000000000000001E-3</v>
      </c>
      <c r="U14" s="17">
        <v>5.4999999999999997E-3</v>
      </c>
      <c r="V14" s="46">
        <v>7.0000000000000001E-3</v>
      </c>
    </row>
    <row r="15" spans="2:22" s="24" customFormat="1">
      <c r="B15" s="37" t="s">
        <v>63</v>
      </c>
      <c r="C15" s="42">
        <v>4.0000000000000001E-3</v>
      </c>
      <c r="D15" s="17">
        <v>2E-3</v>
      </c>
      <c r="E15" s="43">
        <v>1E-3</v>
      </c>
      <c r="F15" s="44">
        <v>3.3799999999999998E-3</v>
      </c>
      <c r="G15" s="17">
        <v>3.5699999999999998E-3</v>
      </c>
      <c r="H15" s="17">
        <v>3.4351099999999999E-3</v>
      </c>
      <c r="I15" s="43">
        <v>3.4617033333333332E-3</v>
      </c>
      <c r="J15" s="45">
        <v>6.8999999999999999E-3</v>
      </c>
      <c r="K15" s="44">
        <v>5.0000000000000001E-4</v>
      </c>
      <c r="L15" s="17">
        <v>3.5000000000000001E-3</v>
      </c>
      <c r="M15" s="17">
        <v>1E-3</v>
      </c>
      <c r="N15" s="17">
        <v>5.0000000000000001E-4</v>
      </c>
      <c r="O15" s="17">
        <v>3.5000000000000001E-3</v>
      </c>
      <c r="P15" s="17">
        <v>4.0000000000000001E-3</v>
      </c>
      <c r="Q15" s="17">
        <v>5.7999999999999996E-3</v>
      </c>
      <c r="R15" s="17">
        <v>6.3200000000000001E-3</v>
      </c>
      <c r="S15" s="17">
        <v>7.4999999999999997E-3</v>
      </c>
      <c r="T15" s="17">
        <v>8.5000000000000006E-3</v>
      </c>
      <c r="U15" s="17">
        <v>1.0999999999999999E-2</v>
      </c>
      <c r="V15" s="46">
        <v>1.4999999999999999E-2</v>
      </c>
    </row>
    <row r="16" spans="2:22" s="24" customFormat="1">
      <c r="B16" s="37" t="s">
        <v>64</v>
      </c>
      <c r="C16" s="42">
        <v>3.0000000000000001E-3</v>
      </c>
      <c r="D16" s="17">
        <v>1.5E-3</v>
      </c>
      <c r="E16" s="43">
        <v>5.0000000000000001E-4</v>
      </c>
      <c r="F16" s="44">
        <v>2.2100000000000002E-3</v>
      </c>
      <c r="G16" s="17">
        <v>2.1299999999999999E-3</v>
      </c>
      <c r="H16" s="17">
        <v>4.6914700000000925E-3</v>
      </c>
      <c r="I16" s="43">
        <v>3.0104900000000306E-3</v>
      </c>
      <c r="J16" s="45">
        <v>1.0999999999999999E-2</v>
      </c>
      <c r="K16" s="44">
        <v>2.5000000000000001E-4</v>
      </c>
      <c r="L16" s="17">
        <v>4.0000000000000001E-3</v>
      </c>
      <c r="M16" s="17">
        <v>1E-3</v>
      </c>
      <c r="N16" s="17">
        <v>5.0000000000000001E-4</v>
      </c>
      <c r="O16" s="17">
        <v>4.0000000000000001E-3</v>
      </c>
      <c r="P16" s="17">
        <v>5.0000000000000001E-3</v>
      </c>
      <c r="Q16" s="17">
        <v>4.4999999999999997E-3</v>
      </c>
      <c r="R16" s="17">
        <v>4.7000000000000002E-3</v>
      </c>
      <c r="S16" s="17">
        <v>4.7000000000000002E-3</v>
      </c>
      <c r="T16" s="17">
        <v>5.4999999999999997E-3</v>
      </c>
      <c r="U16" s="17">
        <v>6.4999999999999997E-3</v>
      </c>
      <c r="V16" s="46">
        <v>8.0000000000000002E-3</v>
      </c>
    </row>
    <row r="17" spans="2:22" s="24" customFormat="1">
      <c r="B17" s="37" t="s">
        <v>66</v>
      </c>
      <c r="C17" s="42">
        <v>3.7500000000000001E-4</v>
      </c>
      <c r="D17" s="17">
        <v>3.7500000000000001E-4</v>
      </c>
      <c r="E17" s="43">
        <v>3.7500000000000001E-4</v>
      </c>
      <c r="F17" s="44">
        <v>4.15E-4</v>
      </c>
      <c r="G17" s="17">
        <v>4.0999999999999999E-4</v>
      </c>
      <c r="H17" s="17">
        <v>5.7092999999999998E-4</v>
      </c>
      <c r="I17" s="43">
        <v>4.9864333333333327E-4</v>
      </c>
      <c r="J17" s="45">
        <v>5.0000000000000001E-4</v>
      </c>
      <c r="K17" s="44">
        <v>3.7500000000000001E-4</v>
      </c>
      <c r="L17" s="17">
        <v>5.0000000000000001E-4</v>
      </c>
      <c r="M17" s="17">
        <v>5.0000000000000001E-4</v>
      </c>
      <c r="N17" s="17">
        <v>5.0000000000000001E-4</v>
      </c>
      <c r="O17" s="17">
        <v>5.0000000000000001E-4</v>
      </c>
      <c r="P17" s="17">
        <v>5.9999999999999995E-4</v>
      </c>
      <c r="Q17" s="17">
        <v>5.9999999999999995E-4</v>
      </c>
      <c r="R17" s="17">
        <v>6.9999999999999999E-4</v>
      </c>
      <c r="S17" s="17">
        <v>6.9999999999999999E-4</v>
      </c>
      <c r="T17" s="17">
        <v>6.9999999999999999E-4</v>
      </c>
      <c r="U17" s="17">
        <v>6.9999999999999999E-4</v>
      </c>
      <c r="V17" s="46">
        <v>8.0000000000000004E-4</v>
      </c>
    </row>
    <row r="18" spans="2:22" s="24" customFormat="1">
      <c r="B18" s="37" t="s">
        <v>67</v>
      </c>
      <c r="C18" s="42">
        <v>3.7500000000000001E-4</v>
      </c>
      <c r="D18" s="17">
        <v>3.7500000000000001E-4</v>
      </c>
      <c r="E18" s="43">
        <v>3.7500000000000001E-4</v>
      </c>
      <c r="F18" s="44">
        <v>1.2E-4</v>
      </c>
      <c r="G18" s="17">
        <v>5.1000000000000004E-4</v>
      </c>
      <c r="H18" s="17">
        <v>3.9833999999999996E-4</v>
      </c>
      <c r="I18" s="43">
        <v>2.0944666666666668E-4</v>
      </c>
      <c r="J18" s="45">
        <v>5.0000000000000001E-4</v>
      </c>
      <c r="K18" s="44">
        <v>3.7500000000000001E-4</v>
      </c>
      <c r="L18" s="17">
        <v>5.0000000000000001E-4</v>
      </c>
      <c r="M18" s="17">
        <v>5.0000000000000001E-4</v>
      </c>
      <c r="N18" s="17">
        <v>5.0000000000000001E-4</v>
      </c>
      <c r="O18" s="17">
        <v>5.0000000000000001E-4</v>
      </c>
      <c r="P18" s="17">
        <v>5.9999999999999995E-4</v>
      </c>
      <c r="Q18" s="17">
        <v>5.9999999999999995E-4</v>
      </c>
      <c r="R18" s="17">
        <v>6.9999999999999999E-4</v>
      </c>
      <c r="S18" s="17">
        <v>6.9999999999999999E-4</v>
      </c>
      <c r="T18" s="17">
        <v>6.9999999999999999E-4</v>
      </c>
      <c r="U18" s="17">
        <v>6.9999999999999999E-4</v>
      </c>
      <c r="V18" s="46">
        <v>8.0000000000000004E-4</v>
      </c>
    </row>
    <row r="19" spans="2:22" s="24" customFormat="1">
      <c r="B19" s="37" t="s">
        <v>69</v>
      </c>
      <c r="C19" s="42">
        <v>3.7500000000000001E-4</v>
      </c>
      <c r="D19" s="17">
        <v>3.7500000000000001E-4</v>
      </c>
      <c r="E19" s="43">
        <v>3.7500000000000001E-4</v>
      </c>
      <c r="F19" s="44">
        <v>0</v>
      </c>
      <c r="G19" s="17">
        <v>1.0999999999999999E-4</v>
      </c>
      <c r="H19" s="17">
        <v>2.19E-5</v>
      </c>
      <c r="I19" s="43">
        <v>7.3000000000000004E-6</v>
      </c>
      <c r="J19" s="45">
        <v>5.0000000000000001E-4</v>
      </c>
      <c r="K19" s="44">
        <v>3.7500000000000001E-4</v>
      </c>
      <c r="L19" s="17">
        <v>5.0000000000000001E-4</v>
      </c>
      <c r="M19" s="17">
        <v>5.0000000000000001E-4</v>
      </c>
      <c r="N19" s="17">
        <v>5.0000000000000001E-4</v>
      </c>
      <c r="O19" s="17">
        <v>5.0000000000000001E-4</v>
      </c>
      <c r="P19" s="17">
        <v>5.9999999999999995E-4</v>
      </c>
      <c r="Q19" s="17">
        <v>5.9999999999999995E-4</v>
      </c>
      <c r="R19" s="17">
        <v>6.9999999999999999E-4</v>
      </c>
      <c r="S19" s="17">
        <v>6.9999999999999999E-4</v>
      </c>
      <c r="T19" s="17">
        <v>6.9999999999999999E-4</v>
      </c>
      <c r="U19" s="17">
        <v>6.9999999999999999E-4</v>
      </c>
      <c r="V19" s="46">
        <v>8.0000000000000004E-4</v>
      </c>
    </row>
    <row r="20" spans="2:22" s="24" customFormat="1">
      <c r="B20" s="37" t="s">
        <v>70</v>
      </c>
      <c r="C20" s="42">
        <v>3.7500000000000001E-4</v>
      </c>
      <c r="D20" s="17">
        <v>3.7500000000000001E-4</v>
      </c>
      <c r="E20" s="43">
        <v>3.7500000000000001E-4</v>
      </c>
      <c r="F20" s="44">
        <v>1.0000000000000001E-5</v>
      </c>
      <c r="G20" s="17">
        <v>0</v>
      </c>
      <c r="H20" s="17">
        <v>6.4639999999999991E-5</v>
      </c>
      <c r="I20" s="43">
        <v>2.4879999999999996E-5</v>
      </c>
      <c r="J20" s="45">
        <v>5.0000000000000001E-4</v>
      </c>
      <c r="K20" s="44">
        <v>3.7500000000000001E-4</v>
      </c>
      <c r="L20" s="17">
        <v>5.0000000000000001E-4</v>
      </c>
      <c r="M20" s="17">
        <v>5.0000000000000001E-4</v>
      </c>
      <c r="N20" s="17">
        <v>5.0000000000000001E-4</v>
      </c>
      <c r="O20" s="17">
        <v>5.0000000000000001E-4</v>
      </c>
      <c r="P20" s="17">
        <v>5.9999999999999995E-4</v>
      </c>
      <c r="Q20" s="17">
        <v>5.9999999999999995E-4</v>
      </c>
      <c r="R20" s="17">
        <v>6.9999999999999999E-4</v>
      </c>
      <c r="S20" s="17">
        <v>6.9999999999999999E-4</v>
      </c>
      <c r="T20" s="17">
        <v>6.9999999999999999E-4</v>
      </c>
      <c r="U20" s="17">
        <v>6.9999999999999999E-4</v>
      </c>
      <c r="V20" s="46">
        <v>8.0000000000000004E-4</v>
      </c>
    </row>
    <row r="21" spans="2:22" s="24" customFormat="1">
      <c r="B21" s="37" t="s">
        <v>72</v>
      </c>
      <c r="C21" s="42">
        <v>0.01</v>
      </c>
      <c r="D21" s="17">
        <v>0.01</v>
      </c>
      <c r="E21" s="43">
        <v>0.01</v>
      </c>
      <c r="F21" s="44">
        <v>1.0000000000000001E-5</v>
      </c>
      <c r="G21" s="17">
        <v>0</v>
      </c>
      <c r="H21" s="17">
        <v>6.4639999999999991E-5</v>
      </c>
      <c r="I21" s="43">
        <v>2.4879999999999996E-5</v>
      </c>
      <c r="J21" s="45">
        <v>2.1499999999999998E-2</v>
      </c>
      <c r="K21" s="44">
        <v>0.01</v>
      </c>
      <c r="L21" s="17">
        <v>0.01</v>
      </c>
      <c r="M21" s="17">
        <v>0.01</v>
      </c>
      <c r="N21" s="17">
        <v>0.01</v>
      </c>
      <c r="O21" s="17">
        <v>0.01</v>
      </c>
      <c r="P21" s="17">
        <v>0.01</v>
      </c>
      <c r="Q21" s="17">
        <v>0.01</v>
      </c>
      <c r="R21" s="17">
        <v>0.01</v>
      </c>
      <c r="S21" s="17">
        <v>0.01</v>
      </c>
      <c r="T21" s="17">
        <v>0.01</v>
      </c>
      <c r="U21" s="17">
        <v>0.01</v>
      </c>
      <c r="V21" s="46">
        <v>0.01</v>
      </c>
    </row>
    <row r="22" spans="2:22" s="24" customFormat="1">
      <c r="B22" s="37" t="s">
        <v>74</v>
      </c>
      <c r="C22" s="42">
        <f>SUM(C6:C21)</f>
        <v>1.0002000000000002</v>
      </c>
      <c r="D22" s="17">
        <f>SUM(D6:D21)</f>
        <v>1.0001</v>
      </c>
      <c r="E22" s="43">
        <f>SUM(E6:E21)</f>
        <v>0.99999999999999989</v>
      </c>
      <c r="F22" s="44">
        <v>1.0000100000000001</v>
      </c>
      <c r="G22" s="17">
        <v>1.00041</v>
      </c>
      <c r="H22" s="17">
        <v>1.0000646400000002</v>
      </c>
      <c r="I22" s="43">
        <v>1.0000248799999998</v>
      </c>
      <c r="J22" s="45">
        <v>0.99999999999999956</v>
      </c>
      <c r="K22" s="44">
        <f>SUM(K6:K21)</f>
        <v>1</v>
      </c>
      <c r="L22" s="17">
        <f t="shared" ref="L22:V22" si="0">SUM(L6:L21)</f>
        <v>0.99999999999999967</v>
      </c>
      <c r="M22" s="17">
        <f t="shared" si="0"/>
        <v>0.99999999999999967</v>
      </c>
      <c r="N22" s="17">
        <f t="shared" si="0"/>
        <v>0.99994999999999956</v>
      </c>
      <c r="O22" s="17">
        <f t="shared" si="0"/>
        <v>0.99999999999999967</v>
      </c>
      <c r="P22" s="17">
        <f t="shared" si="0"/>
        <v>1</v>
      </c>
      <c r="Q22" s="17">
        <f t="shared" si="0"/>
        <v>1.0000000000000002</v>
      </c>
      <c r="R22" s="17">
        <f t="shared" si="0"/>
        <v>1.0000200000000004</v>
      </c>
      <c r="S22" s="17">
        <f t="shared" si="0"/>
        <v>1</v>
      </c>
      <c r="T22" s="17">
        <f t="shared" si="0"/>
        <v>1</v>
      </c>
      <c r="U22" s="17">
        <f t="shared" si="0"/>
        <v>1</v>
      </c>
      <c r="V22" s="46">
        <f t="shared" si="0"/>
        <v>1</v>
      </c>
    </row>
    <row r="23" spans="2:22" s="24" customFormat="1" ht="7.5" customHeight="1">
      <c r="B23" s="47"/>
      <c r="F23" s="48"/>
      <c r="J23" s="49"/>
      <c r="K23" s="48"/>
      <c r="V23" s="50"/>
    </row>
    <row r="24" spans="2:22" s="24" customFormat="1">
      <c r="B24" s="37" t="s">
        <v>83</v>
      </c>
      <c r="C24" s="51">
        <v>1089</v>
      </c>
      <c r="D24" s="52">
        <v>1070</v>
      </c>
      <c r="E24" s="53">
        <v>1058</v>
      </c>
      <c r="F24" s="54">
        <v>1238</v>
      </c>
      <c r="G24" s="52">
        <v>1188</v>
      </c>
      <c r="H24" s="52">
        <v>1095</v>
      </c>
      <c r="I24" s="53">
        <v>1173.6666666666667</v>
      </c>
      <c r="J24" s="37">
        <v>1361</v>
      </c>
      <c r="K24" s="54">
        <v>1051</v>
      </c>
      <c r="L24" s="52">
        <v>1124</v>
      </c>
      <c r="M24" s="52">
        <v>1096</v>
      </c>
      <c r="N24" s="52">
        <v>1089</v>
      </c>
      <c r="O24" s="52">
        <v>1124</v>
      </c>
      <c r="P24" s="52">
        <v>1141</v>
      </c>
      <c r="Q24" s="52">
        <v>1170</v>
      </c>
      <c r="R24" s="52">
        <v>1185</v>
      </c>
      <c r="S24" s="52">
        <v>1210</v>
      </c>
      <c r="T24" s="52">
        <v>1248</v>
      </c>
      <c r="U24" s="52">
        <v>1282</v>
      </c>
      <c r="V24" s="55">
        <v>1338</v>
      </c>
    </row>
    <row r="25" spans="2:22" s="24" customFormat="1">
      <c r="B25" s="37" t="s">
        <v>43</v>
      </c>
      <c r="C25" s="5">
        <v>2.54</v>
      </c>
      <c r="D25" s="11">
        <v>2.35</v>
      </c>
      <c r="E25" s="7">
        <v>2.2000000000000002</v>
      </c>
      <c r="F25" s="56">
        <v>5.4</v>
      </c>
      <c r="G25" s="18">
        <v>5.8</v>
      </c>
      <c r="H25" s="18">
        <v>4.5</v>
      </c>
      <c r="I25" s="57">
        <v>5.2333333333333334</v>
      </c>
      <c r="J25" s="37">
        <v>7.9</v>
      </c>
      <c r="K25" s="58">
        <v>2.09</v>
      </c>
      <c r="L25" s="11">
        <v>3.5</v>
      </c>
      <c r="M25" s="11">
        <v>3.18</v>
      </c>
      <c r="N25" s="11">
        <v>3.1</v>
      </c>
      <c r="O25" s="11">
        <v>3.52</v>
      </c>
      <c r="P25" s="11">
        <v>3.83</v>
      </c>
      <c r="Q25" s="11">
        <v>4.3</v>
      </c>
      <c r="R25" s="11">
        <v>4.67</v>
      </c>
      <c r="S25" s="11">
        <v>5.1100000000000003</v>
      </c>
      <c r="T25" s="11">
        <v>5.82</v>
      </c>
      <c r="U25" s="11">
        <v>6.4</v>
      </c>
      <c r="V25" s="59">
        <v>7.4</v>
      </c>
    </row>
    <row r="26" spans="2:22" s="24" customFormat="1" hidden="1">
      <c r="B26" s="37" t="s">
        <v>84</v>
      </c>
      <c r="C26" s="5">
        <v>0.13780000000000001</v>
      </c>
      <c r="D26" s="11">
        <v>6.7000000000000004E-2</v>
      </c>
      <c r="E26" s="7">
        <v>2.1999999999999999E-2</v>
      </c>
      <c r="F26" s="58">
        <v>0.38296161400957246</v>
      </c>
      <c r="G26" s="11">
        <v>0.38296161400957246</v>
      </c>
      <c r="H26" s="52">
        <v>56</v>
      </c>
      <c r="I26" s="53">
        <v>51</v>
      </c>
      <c r="J26" s="37"/>
      <c r="K26" s="58">
        <v>0.01</v>
      </c>
      <c r="L26" s="11">
        <v>0.186</v>
      </c>
      <c r="M26" s="11">
        <v>4.3999999999999997E-2</v>
      </c>
      <c r="N26" s="11">
        <v>0.02</v>
      </c>
      <c r="O26" s="11">
        <v>0.18634857951064596</v>
      </c>
      <c r="P26" s="11">
        <v>0.23504573203097967</v>
      </c>
      <c r="Q26" s="11">
        <v>0.20951821879464613</v>
      </c>
      <c r="R26" s="11">
        <v>0.21921942604391789</v>
      </c>
      <c r="S26" s="11">
        <v>0.2198504415823897</v>
      </c>
      <c r="T26" s="11">
        <v>0.25852085190178015</v>
      </c>
      <c r="U26" s="11">
        <v>0.30815194460183049</v>
      </c>
      <c r="V26" s="59">
        <v>0.38296161400957246</v>
      </c>
    </row>
    <row r="27" spans="2:22" s="24" customFormat="1" ht="15.75" thickBot="1">
      <c r="B27" s="60" t="s">
        <v>85</v>
      </c>
      <c r="C27" s="61"/>
      <c r="D27" s="62"/>
      <c r="E27" s="63"/>
      <c r="F27" s="64">
        <v>9.5499999999999995E-3</v>
      </c>
      <c r="G27" s="65">
        <v>1.034E-2</v>
      </c>
      <c r="H27" s="65">
        <v>1.2082870000000093E-2</v>
      </c>
      <c r="I27" s="66">
        <v>1.0520956666666697E-2</v>
      </c>
      <c r="J27" s="67">
        <v>2.8400000000000002E-2</v>
      </c>
      <c r="K27" s="64">
        <f t="shared" ref="K27:V27" si="1">SUM(K14:K20)</f>
        <v>2.4999999999999996E-3</v>
      </c>
      <c r="L27" s="65">
        <f t="shared" si="1"/>
        <v>1.1300000000000001E-2</v>
      </c>
      <c r="M27" s="65">
        <f t="shared" si="1"/>
        <v>4.5000000000000005E-3</v>
      </c>
      <c r="N27" s="65">
        <f t="shared" si="1"/>
        <v>3.2500000000000003E-3</v>
      </c>
      <c r="O27" s="65">
        <f t="shared" si="1"/>
        <v>1.1300000000000001E-2</v>
      </c>
      <c r="P27" s="65">
        <f t="shared" si="1"/>
        <v>1.3899999999999999E-2</v>
      </c>
      <c r="Q27" s="65">
        <f t="shared" si="1"/>
        <v>1.5199999999999998E-2</v>
      </c>
      <c r="R27" s="65">
        <f t="shared" si="1"/>
        <v>1.6619999999999996E-2</v>
      </c>
      <c r="S27" s="65">
        <f t="shared" si="1"/>
        <v>1.8499999999999996E-2</v>
      </c>
      <c r="T27" s="65">
        <f t="shared" si="1"/>
        <v>2.0799999999999999E-2</v>
      </c>
      <c r="U27" s="65">
        <f t="shared" si="1"/>
        <v>2.5799999999999997E-2</v>
      </c>
      <c r="V27" s="68">
        <f t="shared" si="1"/>
        <v>3.32E-2</v>
      </c>
    </row>
    <row r="28" spans="2:22" s="24" customFormat="1" ht="15.75" hidden="1" thickBot="1">
      <c r="B28" s="69" t="s">
        <v>86</v>
      </c>
      <c r="C28" s="38">
        <v>60.18</v>
      </c>
      <c r="D28" s="12">
        <v>43</v>
      </c>
      <c r="E28" s="39">
        <v>-1</v>
      </c>
      <c r="F28" s="70" t="e">
        <f>#REF!</f>
        <v>#REF!</v>
      </c>
      <c r="G28" s="71" t="e">
        <f>#REF!</f>
        <v>#REF!</v>
      </c>
      <c r="H28" s="71" t="e">
        <f>#REF!</f>
        <v>#REF!</v>
      </c>
      <c r="I28" s="72" t="e">
        <f>#REF!</f>
        <v>#REF!</v>
      </c>
      <c r="K28" s="70">
        <v>-21</v>
      </c>
      <c r="L28" s="71">
        <v>97</v>
      </c>
      <c r="M28" s="71">
        <v>27</v>
      </c>
      <c r="N28" s="71">
        <v>-2</v>
      </c>
      <c r="O28" s="71">
        <v>97.85800443193898</v>
      </c>
      <c r="P28" s="71">
        <v>209.82802014808647</v>
      </c>
      <c r="Q28" s="71">
        <v>139.05051441259081</v>
      </c>
      <c r="R28" s="71">
        <v>162.4765814102002</v>
      </c>
      <c r="S28" s="71">
        <v>164.14116535139624</v>
      </c>
      <c r="T28" s="71">
        <v>303.92794140716649</v>
      </c>
      <c r="U28" s="71">
        <v>618.15730291645332</v>
      </c>
      <c r="V28" s="73">
        <v>1479.0568269966434</v>
      </c>
    </row>
    <row r="29" spans="2:22" s="24" customFormat="1"/>
  </sheetData>
  <pageMargins left="0.2" right="0.2" top="0.75" bottom="0.75" header="0.3" footer="0.3"/>
  <pageSetup scale="9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B9C65-81C5-4CA5-BA16-964F0D1796E0}">
  <dimension ref="A1"/>
  <sheetViews>
    <sheetView workbookViewId="0">
      <selection activeCell="S34" sqref="S34"/>
    </sheetView>
  </sheetViews>
  <sheetFormatPr defaultRowHeight="15"/>
  <cols>
    <col min="1" max="16384" width="9.140625" style="24"/>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3383-44F9-4E32-AEE3-93A0BE563764}">
  <dimension ref="A1:M57"/>
  <sheetViews>
    <sheetView topLeftCell="A31" zoomScale="94" zoomScaleNormal="60" workbookViewId="0">
      <selection activeCell="D45" sqref="D45"/>
    </sheetView>
  </sheetViews>
  <sheetFormatPr defaultColWidth="11.5703125" defaultRowHeight="12.75"/>
  <cols>
    <col min="1" max="1" width="11.5703125" style="93"/>
    <col min="2" max="2" width="42.140625" style="93" customWidth="1"/>
    <col min="3" max="3" width="11.5703125" style="93"/>
    <col min="4" max="4" width="21.140625" style="93" customWidth="1"/>
    <col min="5" max="5" width="15" style="93" customWidth="1"/>
    <col min="6" max="6" width="23" style="93" customWidth="1"/>
    <col min="7" max="8" width="11.5703125" style="93"/>
    <col min="9" max="9" width="21.5703125" style="93" customWidth="1"/>
    <col min="10" max="16384" width="11.5703125" style="93"/>
  </cols>
  <sheetData>
    <row r="1" spans="1:13">
      <c r="A1" s="92" t="s">
        <v>142</v>
      </c>
      <c r="B1" s="92"/>
      <c r="C1" s="92"/>
      <c r="D1" s="92"/>
      <c r="E1" s="92"/>
      <c r="F1" s="92"/>
      <c r="G1" s="92"/>
      <c r="H1" s="92"/>
      <c r="I1" s="92"/>
      <c r="J1" s="92"/>
      <c r="K1" s="92"/>
      <c r="L1" s="92"/>
      <c r="M1" s="92"/>
    </row>
    <row r="2" spans="1:13">
      <c r="A2" s="92" t="s">
        <v>143</v>
      </c>
      <c r="B2" s="92"/>
      <c r="C2" s="92"/>
      <c r="D2" s="92"/>
      <c r="E2" s="92"/>
      <c r="F2" s="92"/>
      <c r="G2" s="92"/>
      <c r="H2" s="92"/>
      <c r="I2" s="92"/>
      <c r="J2" s="92"/>
      <c r="K2" s="92"/>
      <c r="L2" s="92"/>
      <c r="M2" s="92"/>
    </row>
    <row r="4" spans="1:13" ht="15">
      <c r="A4" s="94" t="s">
        <v>144</v>
      </c>
      <c r="D4" s="95" t="s">
        <v>145</v>
      </c>
      <c r="E4" s="96" t="s">
        <v>146</v>
      </c>
    </row>
    <row r="5" spans="1:13" ht="15">
      <c r="A5" s="94"/>
      <c r="D5" s="97"/>
      <c r="E5" s="98"/>
    </row>
    <row r="6" spans="1:13" ht="15">
      <c r="A6" s="94" t="s">
        <v>147</v>
      </c>
      <c r="D6" s="97"/>
      <c r="E6" s="98"/>
    </row>
    <row r="7" spans="1:13" ht="15.75" thickBot="1">
      <c r="A7" s="94"/>
      <c r="D7" s="97"/>
      <c r="E7" s="98"/>
    </row>
    <row r="8" spans="1:13" ht="13.5" thickBot="1">
      <c r="A8" s="94"/>
      <c r="B8" s="194" t="s">
        <v>148</v>
      </c>
      <c r="C8" s="194"/>
      <c r="D8" s="194"/>
      <c r="E8" s="194"/>
    </row>
    <row r="9" spans="1:13" ht="15">
      <c r="A9" s="94"/>
      <c r="B9" s="99" t="s">
        <v>149</v>
      </c>
      <c r="C9" s="100"/>
      <c r="D9" s="101" t="s">
        <v>150</v>
      </c>
      <c r="E9" s="102"/>
    </row>
    <row r="10" spans="1:13" ht="15">
      <c r="A10" s="94"/>
      <c r="B10" s="99" t="s">
        <v>151</v>
      </c>
      <c r="C10" s="100"/>
      <c r="D10" s="126">
        <v>20</v>
      </c>
      <c r="E10" s="102" t="s">
        <v>152</v>
      </c>
    </row>
    <row r="11" spans="1:13" ht="15">
      <c r="A11" s="94"/>
      <c r="B11" s="99" t="s">
        <v>153</v>
      </c>
      <c r="C11" s="100"/>
      <c r="D11" s="103">
        <f>D10/29</f>
        <v>0.68965517241379315</v>
      </c>
      <c r="E11" s="102"/>
    </row>
    <row r="12" spans="1:13" ht="15">
      <c r="A12" s="94"/>
      <c r="B12" s="99" t="s">
        <v>154</v>
      </c>
      <c r="C12" s="100"/>
      <c r="D12" s="101">
        <v>1.52E-2</v>
      </c>
      <c r="E12" s="102"/>
    </row>
    <row r="13" spans="1:13" ht="15">
      <c r="A13" s="94"/>
      <c r="B13" s="99" t="s">
        <v>155</v>
      </c>
      <c r="C13" s="100" t="s">
        <v>156</v>
      </c>
      <c r="D13" s="101">
        <f>Calculator!E8</f>
        <v>100</v>
      </c>
      <c r="E13" s="102" t="s">
        <v>34</v>
      </c>
    </row>
    <row r="14" spans="1:13" ht="15">
      <c r="A14" s="94"/>
      <c r="B14" s="99"/>
      <c r="C14" s="100"/>
      <c r="D14" s="104">
        <f>D13+459.67</f>
        <v>559.67000000000007</v>
      </c>
      <c r="E14" s="102" t="s">
        <v>157</v>
      </c>
    </row>
    <row r="15" spans="1:13" ht="15">
      <c r="A15" s="94"/>
      <c r="B15" s="99" t="s">
        <v>158</v>
      </c>
      <c r="C15" s="100" t="s">
        <v>159</v>
      </c>
      <c r="D15" s="101">
        <v>75</v>
      </c>
      <c r="E15" s="102" t="s">
        <v>34</v>
      </c>
    </row>
    <row r="16" spans="1:13" ht="15">
      <c r="A16" s="94"/>
      <c r="B16" s="99"/>
      <c r="C16" s="100"/>
      <c r="D16" s="104">
        <f>D15+459.67</f>
        <v>534.67000000000007</v>
      </c>
      <c r="E16" s="102" t="s">
        <v>157</v>
      </c>
    </row>
    <row r="17" spans="1:11" ht="15">
      <c r="A17" s="94"/>
      <c r="B17" s="99" t="s">
        <v>160</v>
      </c>
      <c r="C17" s="100" t="s">
        <v>161</v>
      </c>
      <c r="D17" s="101">
        <f>Calculator!E9</f>
        <v>75</v>
      </c>
      <c r="E17" s="102" t="s">
        <v>162</v>
      </c>
    </row>
    <row r="18" spans="1:11" ht="15">
      <c r="A18" s="94"/>
      <c r="B18" s="99" t="s">
        <v>163</v>
      </c>
      <c r="C18" s="100" t="s">
        <v>164</v>
      </c>
      <c r="D18" s="101">
        <v>498.65</v>
      </c>
      <c r="E18" s="102" t="s">
        <v>162</v>
      </c>
    </row>
    <row r="19" spans="1:11" ht="15">
      <c r="A19" s="94"/>
      <c r="B19" s="99" t="s">
        <v>165</v>
      </c>
      <c r="C19" s="100" t="s">
        <v>166</v>
      </c>
      <c r="D19" s="101">
        <f>Calculator!E10/5280</f>
        <v>3.7878787878787881</v>
      </c>
      <c r="E19" s="102" t="s">
        <v>167</v>
      </c>
    </row>
    <row r="20" spans="1:11" ht="15">
      <c r="A20" s="94"/>
      <c r="B20" s="99" t="s">
        <v>168</v>
      </c>
      <c r="C20" s="100" t="s">
        <v>169</v>
      </c>
      <c r="D20" s="101">
        <f>Calculator!E12*12</f>
        <v>6</v>
      </c>
      <c r="E20" s="102" t="s">
        <v>170</v>
      </c>
    </row>
    <row r="21" spans="1:11" ht="15">
      <c r="A21" s="94"/>
      <c r="B21" s="99" t="s">
        <v>171</v>
      </c>
      <c r="C21" s="100" t="s">
        <v>172</v>
      </c>
      <c r="D21" s="101">
        <v>4.4999999999999999E-4</v>
      </c>
      <c r="E21" s="102" t="s">
        <v>173</v>
      </c>
    </row>
    <row r="22" spans="1:11" ht="15">
      <c r="A22" s="94"/>
      <c r="B22" s="99" t="s">
        <v>174</v>
      </c>
      <c r="C22" s="100" t="s">
        <v>175</v>
      </c>
      <c r="D22" s="101">
        <v>0</v>
      </c>
      <c r="E22" s="102" t="s">
        <v>176</v>
      </c>
    </row>
    <row r="23" spans="1:11" ht="15">
      <c r="A23" s="94"/>
      <c r="B23" s="99" t="s">
        <v>177</v>
      </c>
      <c r="C23" s="100" t="s">
        <v>115</v>
      </c>
      <c r="D23" s="101">
        <f>Calculator!I87</f>
        <v>1.4923897295808928E-2</v>
      </c>
      <c r="E23" s="102"/>
      <c r="F23" s="105" t="s">
        <v>178</v>
      </c>
      <c r="G23" s="105"/>
      <c r="H23" s="105"/>
      <c r="I23" s="105" t="s">
        <v>179</v>
      </c>
      <c r="J23" s="105"/>
      <c r="K23" s="105"/>
    </row>
    <row r="24" spans="1:11" ht="15.75" thickBot="1">
      <c r="A24" s="94"/>
      <c r="B24" s="106" t="s">
        <v>180</v>
      </c>
      <c r="C24" s="107" t="s">
        <v>181</v>
      </c>
      <c r="D24" s="108">
        <v>0.92</v>
      </c>
      <c r="E24" s="109"/>
      <c r="I24" s="105" t="s">
        <v>182</v>
      </c>
      <c r="J24" s="105">
        <f>D21</f>
        <v>4.4999999999999999E-4</v>
      </c>
      <c r="K24" s="105" t="s">
        <v>173</v>
      </c>
    </row>
    <row r="25" spans="1:11" ht="15.75" thickBot="1">
      <c r="A25" s="94"/>
      <c r="D25" s="97"/>
      <c r="E25" s="98"/>
      <c r="I25" s="105"/>
      <c r="J25" s="105">
        <f>D21*0.03937008</f>
        <v>1.7716536000000001E-5</v>
      </c>
      <c r="K25" s="105" t="s">
        <v>170</v>
      </c>
    </row>
    <row r="26" spans="1:11" ht="15">
      <c r="A26" s="94"/>
      <c r="B26" s="110" t="s">
        <v>183</v>
      </c>
      <c r="C26" s="111" t="s">
        <v>184</v>
      </c>
      <c r="D26" s="112">
        <f>(D13+D15)/2</f>
        <v>87.5</v>
      </c>
      <c r="E26" s="113" t="s">
        <v>34</v>
      </c>
      <c r="I26" s="105" t="s">
        <v>185</v>
      </c>
      <c r="J26" s="105">
        <f>D20/J25</f>
        <v>338666.65582933364</v>
      </c>
      <c r="K26" s="105"/>
    </row>
    <row r="27" spans="1:11" ht="15">
      <c r="A27" s="94"/>
      <c r="B27" s="99"/>
      <c r="C27" s="100"/>
      <c r="D27" s="104">
        <f>D26+459.67</f>
        <v>547.17000000000007</v>
      </c>
      <c r="E27" s="102" t="s">
        <v>157</v>
      </c>
      <c r="I27" s="105"/>
      <c r="J27" s="105">
        <f>2*LOG(3.7*D20/J25)</f>
        <v>12.195948326795619</v>
      </c>
      <c r="K27" s="105"/>
    </row>
    <row r="28" spans="1:11" ht="15">
      <c r="A28" s="94"/>
      <c r="B28" s="99" t="s">
        <v>186</v>
      </c>
      <c r="C28" s="100" t="s">
        <v>187</v>
      </c>
      <c r="D28" s="104">
        <f>(2/3)*(D17^3-D18^3)/(D17^2-D18^2)</f>
        <v>338.97042040733311</v>
      </c>
      <c r="E28" s="102" t="s">
        <v>162</v>
      </c>
      <c r="I28" s="114" t="s">
        <v>188</v>
      </c>
      <c r="J28" s="114">
        <f>(1/J27)^2</f>
        <v>6.7230888185200611E-3</v>
      </c>
      <c r="K28" s="114"/>
    </row>
    <row r="29" spans="1:11" ht="15">
      <c r="A29" s="94"/>
      <c r="B29" s="99" t="s">
        <v>189</v>
      </c>
      <c r="C29" s="100" t="s">
        <v>190</v>
      </c>
      <c r="D29" s="101">
        <v>1</v>
      </c>
      <c r="E29" s="102"/>
      <c r="F29" s="93" t="s">
        <v>191</v>
      </c>
      <c r="I29" s="114" t="s">
        <v>192</v>
      </c>
      <c r="J29" s="114">
        <f>0.032/D20^0.333</f>
        <v>1.7620799596805119E-2</v>
      </c>
      <c r="K29" s="114"/>
    </row>
    <row r="30" spans="1:11" ht="15">
      <c r="A30" s="94"/>
      <c r="B30" s="99" t="s">
        <v>193</v>
      </c>
      <c r="C30" s="100" t="s">
        <v>194</v>
      </c>
      <c r="D30" s="104">
        <f>0.0375*(D11*D22*D28^2)/(D27*D29)</f>
        <v>0</v>
      </c>
      <c r="E30" s="102"/>
    </row>
    <row r="31" spans="1:11" ht="15">
      <c r="A31" s="94"/>
      <c r="B31" s="99"/>
      <c r="C31" s="100"/>
      <c r="D31" s="104"/>
      <c r="E31" s="102"/>
    </row>
    <row r="32" spans="1:11" ht="15">
      <c r="A32" s="94"/>
      <c r="B32" s="99"/>
      <c r="C32" s="100"/>
      <c r="D32" s="104"/>
      <c r="E32" s="102"/>
    </row>
    <row r="33" spans="1:10" ht="15">
      <c r="A33" s="94"/>
      <c r="B33" s="99" t="s">
        <v>195</v>
      </c>
      <c r="C33" s="100" t="s">
        <v>196</v>
      </c>
      <c r="D33" s="115">
        <v>520</v>
      </c>
      <c r="E33" s="102" t="s">
        <v>157</v>
      </c>
    </row>
    <row r="34" spans="1:10" ht="15">
      <c r="A34" s="94"/>
      <c r="B34" s="99" t="s">
        <v>197</v>
      </c>
      <c r="C34" s="100" t="s">
        <v>198</v>
      </c>
      <c r="D34" s="115">
        <v>14.7</v>
      </c>
      <c r="E34" s="102" t="s">
        <v>162</v>
      </c>
    </row>
    <row r="35" spans="1:10" ht="15">
      <c r="A35" s="94"/>
      <c r="B35" s="99"/>
      <c r="C35" s="100" t="s">
        <v>199</v>
      </c>
      <c r="D35" s="104">
        <f>D33/D34</f>
        <v>35.374149659863946</v>
      </c>
      <c r="E35" s="102"/>
    </row>
    <row r="36" spans="1:10" ht="15.75" thickBot="1">
      <c r="A36" s="94"/>
      <c r="B36" s="106"/>
      <c r="C36" s="107"/>
      <c r="D36" s="116"/>
      <c r="E36" s="109"/>
    </row>
    <row r="37" spans="1:10" ht="15">
      <c r="A37" s="94"/>
      <c r="B37" s="195" t="s">
        <v>200</v>
      </c>
      <c r="C37" s="195"/>
      <c r="D37" s="104">
        <f>D17^2-D18^2-D30</f>
        <v>-243026.82249999998</v>
      </c>
      <c r="E37" s="102"/>
    </row>
    <row r="38" spans="1:10" ht="15">
      <c r="A38" s="94"/>
      <c r="B38" s="195" t="s">
        <v>201</v>
      </c>
      <c r="C38" s="195"/>
      <c r="D38" s="104">
        <f>D23*D19*D27*D29*D11</f>
        <v>21.332050374471716</v>
      </c>
      <c r="E38" s="102"/>
    </row>
    <row r="39" spans="1:10" ht="15">
      <c r="A39" s="94"/>
      <c r="B39" s="195" t="s">
        <v>202</v>
      </c>
      <c r="C39" s="195"/>
      <c r="D39" s="104">
        <f>D19*D27*D29*D11</f>
        <v>1429.3887147335429</v>
      </c>
      <c r="E39" s="102"/>
    </row>
    <row r="40" spans="1:10" ht="15">
      <c r="A40" s="94"/>
      <c r="B40" s="195" t="s">
        <v>203</v>
      </c>
      <c r="C40" s="195"/>
      <c r="D40" s="104">
        <f>D19*D27*D29*D11^0.8539</f>
        <v>1509.1284764086417</v>
      </c>
      <c r="E40" s="102"/>
    </row>
    <row r="41" spans="1:10" ht="15.75" thickBot="1">
      <c r="A41" s="94"/>
      <c r="B41" s="196" t="s">
        <v>204</v>
      </c>
      <c r="C41" s="196"/>
      <c r="D41" s="116">
        <f>D19*D27*D29*D11^0.931</f>
        <v>1466.5090287164342</v>
      </c>
      <c r="E41" s="109"/>
    </row>
    <row r="42" spans="1:10" ht="15">
      <c r="A42" s="94"/>
      <c r="D42" s="97"/>
      <c r="E42" s="98"/>
    </row>
    <row r="43" spans="1:10" ht="15.75" thickBot="1">
      <c r="A43" s="94"/>
      <c r="D43" s="97"/>
      <c r="E43" s="117"/>
    </row>
    <row r="44" spans="1:10" ht="13.5" thickBot="1">
      <c r="A44" s="94"/>
      <c r="B44" s="192" t="s">
        <v>205</v>
      </c>
      <c r="C44" s="192"/>
      <c r="D44" s="192"/>
      <c r="E44" s="192"/>
      <c r="F44" s="118" t="s">
        <v>114</v>
      </c>
      <c r="G44" s="118" t="s">
        <v>206</v>
      </c>
      <c r="H44" s="118" t="s">
        <v>207</v>
      </c>
      <c r="I44" s="118" t="s">
        <v>208</v>
      </c>
    </row>
    <row r="45" spans="1:10" ht="15">
      <c r="A45" s="94"/>
      <c r="B45" s="99" t="s">
        <v>209</v>
      </c>
      <c r="C45" s="100" t="s">
        <v>210</v>
      </c>
      <c r="D45" s="119" t="e">
        <f>3.2308*D24*D35*(D37/D38)^0.5*D20^2.5</f>
        <v>#NUM!</v>
      </c>
      <c r="E45" s="102" t="s">
        <v>211</v>
      </c>
      <c r="F45" s="104" t="e">
        <f>0.4821*D45*$D$11/($D$20*$D$12)</f>
        <v>#NUM!</v>
      </c>
      <c r="G45" s="104" t="e">
        <f>0.25/(LOG(J25/(3.7*D20)+5.74/F45^0.9))^2</f>
        <v>#NUM!</v>
      </c>
      <c r="H45" s="104">
        <f>D23</f>
        <v>1.4923897295808928E-2</v>
      </c>
      <c r="I45" s="120" t="e">
        <f>(G45-H45)/G45</f>
        <v>#NUM!</v>
      </c>
      <c r="J45" s="93" t="s">
        <v>212</v>
      </c>
    </row>
    <row r="46" spans="1:10" ht="15.75" thickBot="1">
      <c r="A46" s="94"/>
      <c r="B46" s="106" t="s">
        <v>213</v>
      </c>
      <c r="C46" s="107" t="s">
        <v>214</v>
      </c>
      <c r="D46" s="121" t="e">
        <f>18.062*D24*D35*(D37/D39)^0.5*D20^2.667</f>
        <v>#NUM!</v>
      </c>
      <c r="E46" s="109" t="s">
        <v>211</v>
      </c>
      <c r="J46" s="93" t="s">
        <v>215</v>
      </c>
    </row>
    <row r="47" spans="1:10" ht="15">
      <c r="A47" s="94"/>
      <c r="B47" s="99" t="s">
        <v>216</v>
      </c>
      <c r="C47" s="100" t="s">
        <v>217</v>
      </c>
      <c r="D47" s="119" t="e">
        <f>18.161*D24*D35^1.0788*(D37/D40)^0.5394*D20^2.6182</f>
        <v>#NUM!</v>
      </c>
      <c r="E47" s="102" t="s">
        <v>211</v>
      </c>
    </row>
    <row r="48" spans="1:10" ht="15.75" thickBot="1">
      <c r="A48" s="94"/>
      <c r="B48" s="106" t="s">
        <v>218</v>
      </c>
      <c r="C48" s="107" t="s">
        <v>219</v>
      </c>
      <c r="D48" s="121" t="e">
        <f>30.708*D24*D35^1.02*(D37/D41)^0.51*D20^2.53</f>
        <v>#NUM!</v>
      </c>
      <c r="E48" s="109" t="s">
        <v>211</v>
      </c>
    </row>
    <row r="49" spans="1:11" ht="15">
      <c r="A49" s="94"/>
      <c r="D49" s="97"/>
      <c r="E49" s="117"/>
    </row>
    <row r="50" spans="1:11" ht="15">
      <c r="A50" s="94"/>
      <c r="D50" s="97"/>
      <c r="E50" s="98"/>
    </row>
    <row r="51" spans="1:11">
      <c r="B51" s="122" t="s">
        <v>220</v>
      </c>
      <c r="C51" s="122"/>
    </row>
    <row r="53" spans="1:11">
      <c r="B53" s="123" t="s">
        <v>221</v>
      </c>
      <c r="C53" s="123"/>
    </row>
    <row r="55" spans="1:11" ht="16.899999999999999" customHeight="1">
      <c r="B55" s="193" t="s">
        <v>222</v>
      </c>
      <c r="C55" s="193"/>
      <c r="D55" s="193"/>
      <c r="E55" s="193"/>
      <c r="F55" s="193"/>
      <c r="G55" s="193"/>
      <c r="H55" s="193"/>
      <c r="I55" s="193"/>
      <c r="J55" s="193"/>
      <c r="K55" s="193"/>
    </row>
    <row r="57" spans="1:11" s="125" customFormat="1">
      <c r="A57" s="124" t="s">
        <v>223</v>
      </c>
    </row>
  </sheetData>
  <sheetProtection password="C80A" sheet="1" objects="1" scenarios="1"/>
  <mergeCells count="8">
    <mergeCell ref="B44:E44"/>
    <mergeCell ref="B55:K55"/>
    <mergeCell ref="B8:E8"/>
    <mergeCell ref="B37:C37"/>
    <mergeCell ref="B38:C38"/>
    <mergeCell ref="B39:C39"/>
    <mergeCell ref="B40:C40"/>
    <mergeCell ref="B41:C41"/>
  </mergeCells>
  <hyperlinks>
    <hyperlink ref="B51" r:id="rId1" xr:uid="{8614F72D-0B52-4CA5-B3ED-925C49F7A2CE}"/>
  </hyperlinks>
  <pageMargins left="0.78749999999999998" right="0.78749999999999998" top="1.0249999999999999" bottom="1.0249999999999999" header="0.78749999999999998" footer="0.78749999999999998"/>
  <pageSetup paperSize="9" orientation="portrait" useFirstPageNumber="1" horizontalDpi="300" verticalDpi="300"/>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Calculator</vt:lpstr>
      <vt:lpstr>Discussion</vt:lpstr>
      <vt:lpstr>Properties</vt:lpstr>
      <vt:lpstr>Compositions</vt:lpstr>
      <vt:lpstr>Pipe Schedule</vt:lpstr>
      <vt:lpstr>Imperial units</vt:lpstr>
      <vt:lpstr>Compositions!Print_Area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Wayne Landon</dc:creator>
  <cp:lastModifiedBy>gloria landon</cp:lastModifiedBy>
  <dcterms:created xsi:type="dcterms:W3CDTF">2025-04-24T19:25:18Z</dcterms:created>
  <dcterms:modified xsi:type="dcterms:W3CDTF">2025-10-05T03:20:05Z</dcterms:modified>
</cp:coreProperties>
</file>