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wayne_z8780x5\Documents\Engineering Models final\"/>
    </mc:Choice>
  </mc:AlternateContent>
  <xr:revisionPtr revIDLastSave="0" documentId="13_ncr:1_{76EF494A-E674-479E-8BAE-577292DCFBB3}" xr6:coauthVersionLast="47" xr6:coauthVersionMax="47" xr10:uidLastSave="{00000000-0000-0000-0000-000000000000}"/>
  <bookViews>
    <workbookView xWindow="135" yWindow="135" windowWidth="20355" windowHeight="10665" xr2:uid="{CB04C513-A5D1-4B0C-B66E-945B73318694}"/>
  </bookViews>
  <sheets>
    <sheet name="Flash" sheetId="5" r:id="rId1"/>
  </sheets>
  <externalReferences>
    <externalReference r:id="rId2"/>
  </externalReferences>
  <definedNames>
    <definedName name="mL" localSheetId="0">Flash!$D$11</definedName>
    <definedName name="mL">'[1]Flash A'!$F$25</definedName>
    <definedName name="solver_adj" localSheetId="0" hidden="1">Flash!$D$11</definedName>
    <definedName name="solver_cvg" localSheetId="0" hidden="1">0.0001</definedName>
    <definedName name="solver_drv" localSheetId="0" hidden="1">2</definedName>
    <definedName name="solver_eng" localSheetId="0" hidden="1">1</definedName>
    <definedName name="solver_est" localSheetId="0" hidden="1">1</definedName>
    <definedName name="solver_itr" localSheetId="0" hidden="1">2147483647</definedName>
    <definedName name="solver_lhs1" localSheetId="0" hidden="1">Flash!$D$11</definedName>
    <definedName name="solver_lhs2" localSheetId="0" hidden="1">Flash!$D$11</definedName>
    <definedName name="solver_lhs3" localSheetId="0" hidden="1">Flash!$D$11</definedName>
    <definedName name="solver_lhs4" localSheetId="0" hidden="1">Flash!$D$11</definedName>
    <definedName name="solver_mip" localSheetId="0" hidden="1">2147483647</definedName>
    <definedName name="solver_mni" localSheetId="0" hidden="1">30</definedName>
    <definedName name="solver_mrt" localSheetId="0" hidden="1">0.075</definedName>
    <definedName name="solver_msl" localSheetId="0" hidden="1">2</definedName>
    <definedName name="solver_neg" localSheetId="0" hidden="1">1</definedName>
    <definedName name="solver_nod" localSheetId="0" hidden="1">2147483647</definedName>
    <definedName name="solver_num" localSheetId="0" hidden="1">2</definedName>
    <definedName name="solver_nwt" localSheetId="0" hidden="1">1</definedName>
    <definedName name="solver_opt" localSheetId="0" hidden="1">Flash!$F$26</definedName>
    <definedName name="solver_pre" localSheetId="0" hidden="1">0.00000001</definedName>
    <definedName name="solver_rbv" localSheetId="0" hidden="1">2</definedName>
    <definedName name="solver_rel1" localSheetId="0" hidden="1">1</definedName>
    <definedName name="solver_rel2" localSheetId="0" hidden="1">3</definedName>
    <definedName name="solver_rel3" localSheetId="0" hidden="1">3</definedName>
    <definedName name="solver_rel4" localSheetId="0" hidden="1">3</definedName>
    <definedName name="solver_rhs1" localSheetId="0" hidden="1">1</definedName>
    <definedName name="solver_rhs2" localSheetId="0" hidden="1">0</definedName>
    <definedName name="solver_rhs3" localSheetId="0" hidden="1">0</definedName>
    <definedName name="solver_rhs4" localSheetId="0" hidden="1">0</definedName>
    <definedName name="solver_rlx" localSheetId="0" hidden="1">2</definedName>
    <definedName name="solver_rsd" localSheetId="0" hidden="1">0</definedName>
    <definedName name="solver_scl" localSheetId="0" hidden="1">2</definedName>
    <definedName name="solver_sho" localSheetId="0" hidden="1">2</definedName>
    <definedName name="solver_ssz" localSheetId="0" hidden="1">100</definedName>
    <definedName name="solver_tim" localSheetId="0" hidden="1">2147483647</definedName>
    <definedName name="solver_tol" localSheetId="0" hidden="1">0.01</definedName>
    <definedName name="solver_typ" localSheetId="0" hidden="1">3</definedName>
    <definedName name="solver_val" localSheetId="0" hidden="1">0</definedName>
    <definedName name="solver_ver" localSheetId="0"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6" i="5" l="1"/>
  <c r="M15" i="5"/>
  <c r="M16" i="5"/>
  <c r="M17" i="5"/>
  <c r="M18" i="5"/>
  <c r="M19" i="5"/>
  <c r="M20" i="5"/>
  <c r="M21" i="5"/>
  <c r="M22" i="5"/>
  <c r="M23" i="5"/>
  <c r="M24" i="5"/>
  <c r="M25" i="5"/>
  <c r="M14" i="5"/>
  <c r="X15" i="5"/>
  <c r="X16" i="5"/>
  <c r="X17" i="5"/>
  <c r="X18" i="5"/>
  <c r="X19" i="5"/>
  <c r="X20" i="5"/>
  <c r="X21" i="5"/>
  <c r="X22" i="5"/>
  <c r="X23" i="5"/>
  <c r="X24" i="5"/>
  <c r="X25" i="5"/>
  <c r="X14" i="5"/>
  <c r="AE17" i="5"/>
  <c r="Z15" i="5"/>
  <c r="Z16" i="5"/>
  <c r="Z17" i="5"/>
  <c r="Z18" i="5"/>
  <c r="Z19" i="5"/>
  <c r="Z20" i="5"/>
  <c r="Z21" i="5"/>
  <c r="Z22" i="5"/>
  <c r="Z23" i="5"/>
  <c r="Z24" i="5"/>
  <c r="Z25" i="5"/>
  <c r="Z14" i="5"/>
  <c r="P26" i="5" l="1"/>
  <c r="Z26" i="5" s="1"/>
  <c r="M26" i="5"/>
  <c r="V26" i="5"/>
  <c r="AD26" i="5"/>
  <c r="W26" i="5"/>
  <c r="X26" i="5" s="1"/>
  <c r="Q26" i="5"/>
  <c r="U26" i="5"/>
  <c r="S26" i="5"/>
  <c r="AC26" i="5"/>
  <c r="AB26" i="5"/>
  <c r="R26" i="5"/>
  <c r="T26" i="5"/>
  <c r="D25" i="5" l="1"/>
  <c r="D24" i="5"/>
  <c r="D15" i="5"/>
  <c r="D16" i="5"/>
  <c r="D19" i="5"/>
  <c r="D20" i="5"/>
  <c r="G77" i="5"/>
  <c r="F77" i="5"/>
  <c r="E77" i="5"/>
  <c r="I76" i="5"/>
  <c r="H76" i="5"/>
  <c r="G76" i="5"/>
  <c r="F76" i="5"/>
  <c r="E76" i="5"/>
  <c r="I75" i="5"/>
  <c r="H75" i="5"/>
  <c r="G75" i="5"/>
  <c r="F75" i="5"/>
  <c r="E75" i="5"/>
  <c r="I74" i="5"/>
  <c r="H74" i="5"/>
  <c r="G74" i="5"/>
  <c r="F74" i="5"/>
  <c r="E74" i="5"/>
  <c r="I73" i="5"/>
  <c r="H73" i="5"/>
  <c r="G73" i="5"/>
  <c r="F73" i="5"/>
  <c r="E73" i="5"/>
  <c r="I72" i="5"/>
  <c r="H72" i="5"/>
  <c r="G72" i="5"/>
  <c r="F72" i="5"/>
  <c r="E72" i="5"/>
  <c r="I71" i="5"/>
  <c r="H71" i="5"/>
  <c r="G71" i="5"/>
  <c r="F71" i="5"/>
  <c r="E71" i="5"/>
  <c r="I70" i="5"/>
  <c r="H70" i="5"/>
  <c r="G70" i="5"/>
  <c r="F70" i="5"/>
  <c r="E70" i="5"/>
  <c r="I69" i="5"/>
  <c r="H69" i="5"/>
  <c r="G69" i="5"/>
  <c r="F69" i="5"/>
  <c r="E69" i="5"/>
  <c r="I68" i="5"/>
  <c r="H68" i="5"/>
  <c r="I67" i="5"/>
  <c r="H67" i="5"/>
  <c r="G67" i="5"/>
  <c r="F67" i="5"/>
  <c r="E67" i="5"/>
  <c r="I66" i="5"/>
  <c r="H66" i="5"/>
  <c r="G66" i="5"/>
  <c r="F66" i="5"/>
  <c r="E66" i="5"/>
  <c r="C51" i="5"/>
  <c r="C57" i="5" s="1"/>
  <c r="C49" i="5"/>
  <c r="D21" i="5"/>
  <c r="J75" i="5" l="1"/>
  <c r="D23" i="5"/>
  <c r="D18" i="5"/>
  <c r="J66" i="5"/>
  <c r="J68" i="5"/>
  <c r="E26" i="5"/>
  <c r="D22" i="5"/>
  <c r="D17" i="5"/>
  <c r="J67" i="5"/>
  <c r="J74" i="5"/>
  <c r="L69" i="5"/>
  <c r="L74" i="5"/>
  <c r="L77" i="5"/>
  <c r="L73" i="5"/>
  <c r="L66" i="5"/>
  <c r="J73" i="5"/>
  <c r="C56" i="5"/>
  <c r="K75" i="5" s="1"/>
  <c r="D14" i="5"/>
  <c r="L70" i="5"/>
  <c r="L68" i="5"/>
  <c r="J69" i="5"/>
  <c r="L67" i="5"/>
  <c r="J70" i="5"/>
  <c r="J71" i="5"/>
  <c r="L72" i="5"/>
  <c r="L76" i="5"/>
  <c r="C58" i="5"/>
  <c r="J76" i="5"/>
  <c r="L75" i="5"/>
  <c r="C23" i="5" s="1"/>
  <c r="L71" i="5"/>
  <c r="J72" i="5"/>
  <c r="AC95" i="5" l="1"/>
  <c r="Y95" i="5"/>
  <c r="U95" i="5"/>
  <c r="Q95" i="5"/>
  <c r="M95" i="5"/>
  <c r="I95" i="5"/>
  <c r="E95" i="5"/>
  <c r="AE95" i="5"/>
  <c r="Z95" i="5"/>
  <c r="T95" i="5"/>
  <c r="O95" i="5"/>
  <c r="J95" i="5"/>
  <c r="AB95" i="5"/>
  <c r="R95" i="5"/>
  <c r="G95" i="5"/>
  <c r="AD95" i="5"/>
  <c r="X95" i="5"/>
  <c r="S95" i="5"/>
  <c r="N95" i="5"/>
  <c r="H95" i="5"/>
  <c r="W95" i="5"/>
  <c r="L95" i="5"/>
  <c r="K95" i="5"/>
  <c r="AA95" i="5"/>
  <c r="F95" i="5"/>
  <c r="V95" i="5"/>
  <c r="P95" i="5"/>
  <c r="D26" i="5"/>
  <c r="K71" i="5"/>
  <c r="C19" i="5" s="1"/>
  <c r="AS95" i="5"/>
  <c r="AW95" i="5"/>
  <c r="BA95" i="5"/>
  <c r="BE95" i="5"/>
  <c r="AY95" i="5"/>
  <c r="AT95" i="5"/>
  <c r="AX95" i="5"/>
  <c r="BB95" i="5"/>
  <c r="AU95" i="5"/>
  <c r="BC95" i="5"/>
  <c r="AR95" i="5"/>
  <c r="AV95" i="5"/>
  <c r="AZ95" i="5"/>
  <c r="BD95" i="5"/>
  <c r="D95" i="5"/>
  <c r="AF95" i="5"/>
  <c r="BJ95" i="5"/>
  <c r="BN95" i="5"/>
  <c r="BK95" i="5"/>
  <c r="BL95" i="5"/>
  <c r="AG95" i="5"/>
  <c r="AK95" i="5"/>
  <c r="AO95" i="5"/>
  <c r="AH95" i="5"/>
  <c r="AQ95" i="5"/>
  <c r="BI95" i="5"/>
  <c r="AL95" i="5"/>
  <c r="AP95" i="5"/>
  <c r="C95" i="5"/>
  <c r="AJ95" i="5"/>
  <c r="AI95" i="5"/>
  <c r="BG95" i="5"/>
  <c r="AN95" i="5"/>
  <c r="BH95" i="5"/>
  <c r="BF95" i="5"/>
  <c r="BM95" i="5"/>
  <c r="AM95" i="5"/>
  <c r="BO95" i="5"/>
  <c r="K69" i="5"/>
  <c r="C17" i="5" s="1"/>
  <c r="K66" i="5"/>
  <c r="C14" i="5" s="1"/>
  <c r="K74" i="5"/>
  <c r="C22" i="5" s="1"/>
  <c r="K70" i="5"/>
  <c r="C18" i="5" s="1"/>
  <c r="K67" i="5"/>
  <c r="C15" i="5" s="1"/>
  <c r="K73" i="5"/>
  <c r="C21" i="5" s="1"/>
  <c r="K76" i="5"/>
  <c r="C24" i="5" s="1"/>
  <c r="K72" i="5"/>
  <c r="C20" i="5" s="1"/>
  <c r="K68" i="5"/>
  <c r="C16" i="5" s="1"/>
  <c r="C60" i="5"/>
  <c r="I77" i="5" s="1"/>
  <c r="C59" i="5"/>
  <c r="H77" i="5" s="1"/>
  <c r="AB86" i="5" l="1"/>
  <c r="X86" i="5"/>
  <c r="T86" i="5"/>
  <c r="P86" i="5"/>
  <c r="L86" i="5"/>
  <c r="H86" i="5"/>
  <c r="AC86" i="5"/>
  <c r="W86" i="5"/>
  <c r="R86" i="5"/>
  <c r="M86" i="5"/>
  <c r="G86" i="5"/>
  <c r="AA86" i="5"/>
  <c r="V86" i="5"/>
  <c r="Q86" i="5"/>
  <c r="K86" i="5"/>
  <c r="F86" i="5"/>
  <c r="Z86" i="5"/>
  <c r="O86" i="5"/>
  <c r="E86" i="5"/>
  <c r="AD86" i="5"/>
  <c r="I86" i="5"/>
  <c r="Y86" i="5"/>
  <c r="N86" i="5"/>
  <c r="AE86" i="5"/>
  <c r="U86" i="5"/>
  <c r="J86" i="5"/>
  <c r="S86" i="5"/>
  <c r="AD88" i="5"/>
  <c r="Z88" i="5"/>
  <c r="V88" i="5"/>
  <c r="R88" i="5"/>
  <c r="N88" i="5"/>
  <c r="J88" i="5"/>
  <c r="F88" i="5"/>
  <c r="AB88" i="5"/>
  <c r="W88" i="5"/>
  <c r="Q88" i="5"/>
  <c r="L88" i="5"/>
  <c r="G88" i="5"/>
  <c r="AE88" i="5"/>
  <c r="T88" i="5"/>
  <c r="I88" i="5"/>
  <c r="AA88" i="5"/>
  <c r="U88" i="5"/>
  <c r="P88" i="5"/>
  <c r="K88" i="5"/>
  <c r="E88" i="5"/>
  <c r="Y88" i="5"/>
  <c r="O88" i="5"/>
  <c r="AC88" i="5"/>
  <c r="H88" i="5"/>
  <c r="X88" i="5"/>
  <c r="S88" i="5"/>
  <c r="M88" i="5"/>
  <c r="AC87" i="5"/>
  <c r="Y87" i="5"/>
  <c r="U87" i="5"/>
  <c r="Q87" i="5"/>
  <c r="M87" i="5"/>
  <c r="I87" i="5"/>
  <c r="E87" i="5"/>
  <c r="AB87" i="5"/>
  <c r="W87" i="5"/>
  <c r="R87" i="5"/>
  <c r="L87" i="5"/>
  <c r="G87" i="5"/>
  <c r="Z87" i="5"/>
  <c r="AA87" i="5"/>
  <c r="V87" i="5"/>
  <c r="P87" i="5"/>
  <c r="K87" i="5"/>
  <c r="F87" i="5"/>
  <c r="T87" i="5"/>
  <c r="J87" i="5"/>
  <c r="X87" i="5"/>
  <c r="AE87" i="5"/>
  <c r="S87" i="5"/>
  <c r="H87" i="5"/>
  <c r="AD87" i="5"/>
  <c r="O87" i="5"/>
  <c r="N87" i="5"/>
  <c r="AE89" i="5"/>
  <c r="AA89" i="5"/>
  <c r="W89" i="5"/>
  <c r="S89" i="5"/>
  <c r="O89" i="5"/>
  <c r="K89" i="5"/>
  <c r="G89" i="5"/>
  <c r="AB89" i="5"/>
  <c r="V89" i="5"/>
  <c r="Q89" i="5"/>
  <c r="L89" i="5"/>
  <c r="F89" i="5"/>
  <c r="Y89" i="5"/>
  <c r="N89" i="5"/>
  <c r="Z89" i="5"/>
  <c r="U89" i="5"/>
  <c r="P89" i="5"/>
  <c r="J89" i="5"/>
  <c r="E89" i="5"/>
  <c r="AD89" i="5"/>
  <c r="T89" i="5"/>
  <c r="I89" i="5"/>
  <c r="X89" i="5"/>
  <c r="H89" i="5"/>
  <c r="R89" i="5"/>
  <c r="M89" i="5"/>
  <c r="AC89" i="5"/>
  <c r="AD92" i="5"/>
  <c r="Z92" i="5"/>
  <c r="V92" i="5"/>
  <c r="R92" i="5"/>
  <c r="N92" i="5"/>
  <c r="J92" i="5"/>
  <c r="F92" i="5"/>
  <c r="AA92" i="5"/>
  <c r="U92" i="5"/>
  <c r="P92" i="5"/>
  <c r="K92" i="5"/>
  <c r="E92" i="5"/>
  <c r="X92" i="5"/>
  <c r="M92" i="5"/>
  <c r="AE92" i="5"/>
  <c r="Y92" i="5"/>
  <c r="T92" i="5"/>
  <c r="O92" i="5"/>
  <c r="I92" i="5"/>
  <c r="AC92" i="5"/>
  <c r="S92" i="5"/>
  <c r="H92" i="5"/>
  <c r="AB92" i="5"/>
  <c r="G92" i="5"/>
  <c r="W92" i="5"/>
  <c r="Q92" i="5"/>
  <c r="L92" i="5"/>
  <c r="AB90" i="5"/>
  <c r="X90" i="5"/>
  <c r="T90" i="5"/>
  <c r="P90" i="5"/>
  <c r="L90" i="5"/>
  <c r="H90" i="5"/>
  <c r="AA90" i="5"/>
  <c r="V90" i="5"/>
  <c r="Q90" i="5"/>
  <c r="K90" i="5"/>
  <c r="F90" i="5"/>
  <c r="Y90" i="5"/>
  <c r="I90" i="5"/>
  <c r="AE90" i="5"/>
  <c r="Z90" i="5"/>
  <c r="U90" i="5"/>
  <c r="O90" i="5"/>
  <c r="J90" i="5"/>
  <c r="E90" i="5"/>
  <c r="AD90" i="5"/>
  <c r="S90" i="5"/>
  <c r="N90" i="5"/>
  <c r="R90" i="5"/>
  <c r="M90" i="5"/>
  <c r="AC90" i="5"/>
  <c r="G90" i="5"/>
  <c r="W90" i="5"/>
  <c r="AD96" i="5"/>
  <c r="Z96" i="5"/>
  <c r="V96" i="5"/>
  <c r="R96" i="5"/>
  <c r="N96" i="5"/>
  <c r="J96" i="5"/>
  <c r="F96" i="5"/>
  <c r="AE96" i="5"/>
  <c r="Y96" i="5"/>
  <c r="T96" i="5"/>
  <c r="O96" i="5"/>
  <c r="I96" i="5"/>
  <c r="W96" i="5"/>
  <c r="L96" i="5"/>
  <c r="AC96" i="5"/>
  <c r="X96" i="5"/>
  <c r="S96" i="5"/>
  <c r="M96" i="5"/>
  <c r="H96" i="5"/>
  <c r="AB96" i="5"/>
  <c r="Q96" i="5"/>
  <c r="G96" i="5"/>
  <c r="AA96" i="5"/>
  <c r="E96" i="5"/>
  <c r="K96" i="5"/>
  <c r="U96" i="5"/>
  <c r="P96" i="5"/>
  <c r="AB94" i="5"/>
  <c r="X94" i="5"/>
  <c r="T94" i="5"/>
  <c r="P94" i="5"/>
  <c r="L94" i="5"/>
  <c r="H94" i="5"/>
  <c r="AE94" i="5"/>
  <c r="Z94" i="5"/>
  <c r="U94" i="5"/>
  <c r="O94" i="5"/>
  <c r="J94" i="5"/>
  <c r="E94" i="5"/>
  <c r="W94" i="5"/>
  <c r="M94" i="5"/>
  <c r="AD94" i="5"/>
  <c r="Y94" i="5"/>
  <c r="S94" i="5"/>
  <c r="N94" i="5"/>
  <c r="I94" i="5"/>
  <c r="AC94" i="5"/>
  <c r="R94" i="5"/>
  <c r="G94" i="5"/>
  <c r="Q94" i="5"/>
  <c r="K94" i="5"/>
  <c r="AA94" i="5"/>
  <c r="F94" i="5"/>
  <c r="V94" i="5"/>
  <c r="AE93" i="5"/>
  <c r="AA93" i="5"/>
  <c r="W93" i="5"/>
  <c r="S93" i="5"/>
  <c r="O93" i="5"/>
  <c r="K93" i="5"/>
  <c r="G93" i="5"/>
  <c r="Z93" i="5"/>
  <c r="U93" i="5"/>
  <c r="P93" i="5"/>
  <c r="J93" i="5"/>
  <c r="E93" i="5"/>
  <c r="AC93" i="5"/>
  <c r="R93" i="5"/>
  <c r="H93" i="5"/>
  <c r="AD93" i="5"/>
  <c r="Y93" i="5"/>
  <c r="T93" i="5"/>
  <c r="N93" i="5"/>
  <c r="I93" i="5"/>
  <c r="X93" i="5"/>
  <c r="M93" i="5"/>
  <c r="V93" i="5"/>
  <c r="F93" i="5"/>
  <c r="Q93" i="5"/>
  <c r="L93" i="5"/>
  <c r="AB93" i="5"/>
  <c r="AC91" i="5"/>
  <c r="Y91" i="5"/>
  <c r="U91" i="5"/>
  <c r="Q91" i="5"/>
  <c r="M91" i="5"/>
  <c r="I91" i="5"/>
  <c r="E91" i="5"/>
  <c r="AA91" i="5"/>
  <c r="V91" i="5"/>
  <c r="P91" i="5"/>
  <c r="K91" i="5"/>
  <c r="F91" i="5"/>
  <c r="AD91" i="5"/>
  <c r="S91" i="5"/>
  <c r="H91" i="5"/>
  <c r="AE91" i="5"/>
  <c r="Z91" i="5"/>
  <c r="T91" i="5"/>
  <c r="O91" i="5"/>
  <c r="J91" i="5"/>
  <c r="X91" i="5"/>
  <c r="N91" i="5"/>
  <c r="L91" i="5"/>
  <c r="R91" i="5"/>
  <c r="AB91" i="5"/>
  <c r="G91" i="5"/>
  <c r="W91" i="5"/>
  <c r="AU96" i="5"/>
  <c r="AY96" i="5"/>
  <c r="BC96" i="5"/>
  <c r="AS96" i="5"/>
  <c r="BA96" i="5"/>
  <c r="AR96" i="5"/>
  <c r="AV96" i="5"/>
  <c r="AZ96" i="5"/>
  <c r="BD96" i="5"/>
  <c r="AW96" i="5"/>
  <c r="BE96" i="5"/>
  <c r="AT96" i="5"/>
  <c r="AX96" i="5"/>
  <c r="BB96" i="5"/>
  <c r="AU94" i="5"/>
  <c r="AY94" i="5"/>
  <c r="BC94" i="5"/>
  <c r="AW94" i="5"/>
  <c r="BE94" i="5"/>
  <c r="AR94" i="5"/>
  <c r="AV94" i="5"/>
  <c r="AZ94" i="5"/>
  <c r="BD94" i="5"/>
  <c r="AS94" i="5"/>
  <c r="BA94" i="5"/>
  <c r="AT94" i="5"/>
  <c r="AX94" i="5"/>
  <c r="BB94" i="5"/>
  <c r="AS93" i="5"/>
  <c r="AW93" i="5"/>
  <c r="BA93" i="5"/>
  <c r="BE93" i="5"/>
  <c r="AY93" i="5"/>
  <c r="AR93" i="5"/>
  <c r="AT93" i="5"/>
  <c r="AX93" i="5"/>
  <c r="BB93" i="5"/>
  <c r="AU93" i="5"/>
  <c r="BC93" i="5"/>
  <c r="AV93" i="5"/>
  <c r="BD93" i="5"/>
  <c r="AZ93" i="5"/>
  <c r="AU86" i="5"/>
  <c r="AY86" i="5"/>
  <c r="BC86" i="5"/>
  <c r="AT86" i="5"/>
  <c r="AX86" i="5"/>
  <c r="BB86" i="5"/>
  <c r="AR86" i="5"/>
  <c r="AV86" i="5"/>
  <c r="AZ86" i="5"/>
  <c r="BD86" i="5"/>
  <c r="AS86" i="5"/>
  <c r="AW86" i="5"/>
  <c r="BA86" i="5"/>
  <c r="BE86" i="5"/>
  <c r="AU88" i="5"/>
  <c r="AY88" i="5"/>
  <c r="BC88" i="5"/>
  <c r="AS88" i="5"/>
  <c r="BE88" i="5"/>
  <c r="AX88" i="5"/>
  <c r="BB88" i="5"/>
  <c r="AR88" i="5"/>
  <c r="AV88" i="5"/>
  <c r="AZ88" i="5"/>
  <c r="BD88" i="5"/>
  <c r="AW88" i="5"/>
  <c r="BA88" i="5"/>
  <c r="AT88" i="5"/>
  <c r="AS87" i="5"/>
  <c r="AW87" i="5"/>
  <c r="BA87" i="5"/>
  <c r="BE87" i="5"/>
  <c r="AU87" i="5"/>
  <c r="AR87" i="5"/>
  <c r="AV87" i="5"/>
  <c r="AZ87" i="5"/>
  <c r="BD87" i="5"/>
  <c r="AT87" i="5"/>
  <c r="AX87" i="5"/>
  <c r="BB87" i="5"/>
  <c r="AY87" i="5"/>
  <c r="BC87" i="5"/>
  <c r="AS89" i="5"/>
  <c r="AW89" i="5"/>
  <c r="BA89" i="5"/>
  <c r="BE89" i="5"/>
  <c r="AY89" i="5"/>
  <c r="AR89" i="5"/>
  <c r="AZ89" i="5"/>
  <c r="BD89" i="5"/>
  <c r="AT89" i="5"/>
  <c r="AX89" i="5"/>
  <c r="BB89" i="5"/>
  <c r="AU89" i="5"/>
  <c r="BC89" i="5"/>
  <c r="AV89" i="5"/>
  <c r="AU92" i="5"/>
  <c r="AY92" i="5"/>
  <c r="BC92" i="5"/>
  <c r="AW92" i="5"/>
  <c r="BE92" i="5"/>
  <c r="AX92" i="5"/>
  <c r="AR92" i="5"/>
  <c r="AV92" i="5"/>
  <c r="AZ92" i="5"/>
  <c r="BD92" i="5"/>
  <c r="AS92" i="5"/>
  <c r="BA92" i="5"/>
  <c r="AT92" i="5"/>
  <c r="BB92" i="5"/>
  <c r="AU90" i="5"/>
  <c r="AY90" i="5"/>
  <c r="BC90" i="5"/>
  <c r="AS90" i="5"/>
  <c r="BA90" i="5"/>
  <c r="AT90" i="5"/>
  <c r="BB90" i="5"/>
  <c r="AR90" i="5"/>
  <c r="AV90" i="5"/>
  <c r="AZ90" i="5"/>
  <c r="BD90" i="5"/>
  <c r="AW90" i="5"/>
  <c r="BE90" i="5"/>
  <c r="AX90" i="5"/>
  <c r="AS91" i="5"/>
  <c r="AW91" i="5"/>
  <c r="BA91" i="5"/>
  <c r="BE91" i="5"/>
  <c r="AU91" i="5"/>
  <c r="BC91" i="5"/>
  <c r="AV91" i="5"/>
  <c r="BD91" i="5"/>
  <c r="AT91" i="5"/>
  <c r="AX91" i="5"/>
  <c r="BB91" i="5"/>
  <c r="AY91" i="5"/>
  <c r="AR91" i="5"/>
  <c r="AZ91" i="5"/>
  <c r="D87" i="5"/>
  <c r="AF87" i="5"/>
  <c r="BJ87" i="5"/>
  <c r="BN87" i="5"/>
  <c r="AG87" i="5"/>
  <c r="BK87" i="5"/>
  <c r="BL87" i="5"/>
  <c r="AF88" i="5"/>
  <c r="BJ88" i="5"/>
  <c r="AG88" i="5"/>
  <c r="BK88" i="5"/>
  <c r="BN88" i="5"/>
  <c r="D88" i="5"/>
  <c r="BL88" i="5"/>
  <c r="BN89" i="5"/>
  <c r="AG89" i="5"/>
  <c r="BK89" i="5"/>
  <c r="BL89" i="5"/>
  <c r="BJ89" i="5"/>
  <c r="D89" i="5"/>
  <c r="AF89" i="5"/>
  <c r="AF92" i="5"/>
  <c r="BJ92" i="5"/>
  <c r="AG92" i="5"/>
  <c r="BK92" i="5"/>
  <c r="BN92" i="5"/>
  <c r="BL92" i="5"/>
  <c r="D92" i="5"/>
  <c r="BL90" i="5"/>
  <c r="BN90" i="5"/>
  <c r="D90" i="5"/>
  <c r="AG90" i="5"/>
  <c r="BJ90" i="5"/>
  <c r="BK90" i="5"/>
  <c r="AF90" i="5"/>
  <c r="AF96" i="5"/>
  <c r="BJ96" i="5"/>
  <c r="AG96" i="5"/>
  <c r="BK96" i="5"/>
  <c r="D96" i="5"/>
  <c r="BN96" i="5"/>
  <c r="BL96" i="5"/>
  <c r="BL94" i="5"/>
  <c r="BN94" i="5"/>
  <c r="D94" i="5"/>
  <c r="BK94" i="5"/>
  <c r="AF94" i="5"/>
  <c r="AG94" i="5"/>
  <c r="BJ94" i="5"/>
  <c r="D91" i="5"/>
  <c r="AF91" i="5"/>
  <c r="BJ91" i="5"/>
  <c r="BN91" i="5"/>
  <c r="BL91" i="5"/>
  <c r="AG91" i="5"/>
  <c r="BK91" i="5"/>
  <c r="BN93" i="5"/>
  <c r="AG93" i="5"/>
  <c r="BK93" i="5"/>
  <c r="BL93" i="5"/>
  <c r="AF93" i="5"/>
  <c r="BJ93" i="5"/>
  <c r="D93" i="5"/>
  <c r="BL86" i="5"/>
  <c r="BN86" i="5"/>
  <c r="D86" i="5"/>
  <c r="AF86" i="5"/>
  <c r="BK86" i="5"/>
  <c r="AG86" i="5"/>
  <c r="BJ86" i="5"/>
  <c r="C94" i="5"/>
  <c r="AL94" i="5"/>
  <c r="AJ94" i="5"/>
  <c r="BH94" i="5"/>
  <c r="AO94" i="5"/>
  <c r="BI94" i="5"/>
  <c r="BO94" i="5"/>
  <c r="BM94" i="5"/>
  <c r="AK94" i="5"/>
  <c r="AM94" i="5"/>
  <c r="AQ94" i="5"/>
  <c r="AP94" i="5"/>
  <c r="BG94" i="5"/>
  <c r="AH94" i="5"/>
  <c r="AN94" i="5"/>
  <c r="BF94" i="5"/>
  <c r="AI94" i="5"/>
  <c r="C89" i="5"/>
  <c r="BG89" i="5"/>
  <c r="BO89" i="5"/>
  <c r="AL89" i="5"/>
  <c r="AP89" i="5"/>
  <c r="AQ89" i="5"/>
  <c r="AK89" i="5"/>
  <c r="BM89" i="5"/>
  <c r="AN89" i="5"/>
  <c r="BF89" i="5"/>
  <c r="AJ89" i="5"/>
  <c r="AM89" i="5"/>
  <c r="BH89" i="5"/>
  <c r="BI89" i="5"/>
  <c r="AO89" i="5"/>
  <c r="AH89" i="5"/>
  <c r="AI89" i="5"/>
  <c r="C93" i="5"/>
  <c r="BG93" i="5"/>
  <c r="BO93" i="5"/>
  <c r="AL93" i="5"/>
  <c r="AP93" i="5"/>
  <c r="BM93" i="5"/>
  <c r="BI93" i="5"/>
  <c r="AK93" i="5"/>
  <c r="AM93" i="5"/>
  <c r="BF93" i="5"/>
  <c r="AN93" i="5"/>
  <c r="AQ93" i="5"/>
  <c r="AI93" i="5"/>
  <c r="BH93" i="5"/>
  <c r="AJ93" i="5"/>
  <c r="AH93" i="5"/>
  <c r="AO93" i="5"/>
  <c r="C86" i="5"/>
  <c r="AQ86" i="5"/>
  <c r="BI86" i="5"/>
  <c r="AI86" i="5"/>
  <c r="AM86" i="5"/>
  <c r="BH86" i="5"/>
  <c r="BG86" i="5"/>
  <c r="BO86" i="5"/>
  <c r="AK86" i="5"/>
  <c r="AO86" i="5"/>
  <c r="AL86" i="5"/>
  <c r="AP86" i="5"/>
  <c r="AJ86" i="5"/>
  <c r="BM86" i="5"/>
  <c r="BF86" i="5"/>
  <c r="AH86" i="5"/>
  <c r="AN86" i="5"/>
  <c r="AH87" i="5"/>
  <c r="AQ87" i="5"/>
  <c r="BI87" i="5"/>
  <c r="AL87" i="5"/>
  <c r="AP87" i="5"/>
  <c r="AK87" i="5"/>
  <c r="C87" i="5"/>
  <c r="AM87" i="5"/>
  <c r="AN87" i="5"/>
  <c r="AI87" i="5"/>
  <c r="AJ87" i="5"/>
  <c r="BO87" i="5"/>
  <c r="BM87" i="5"/>
  <c r="BF87" i="5"/>
  <c r="AO87" i="5"/>
  <c r="BH87" i="5"/>
  <c r="BG87" i="5"/>
  <c r="BG88" i="5"/>
  <c r="BO88" i="5"/>
  <c r="AI88" i="5"/>
  <c r="AM88" i="5"/>
  <c r="AO88" i="5"/>
  <c r="C88" i="5"/>
  <c r="AQ88" i="5"/>
  <c r="BI88" i="5"/>
  <c r="BM88" i="5"/>
  <c r="AL88" i="5"/>
  <c r="AP88" i="5"/>
  <c r="AH88" i="5"/>
  <c r="BF88" i="5"/>
  <c r="AK88" i="5"/>
  <c r="AJ88" i="5"/>
  <c r="BH88" i="5"/>
  <c r="AN88" i="5"/>
  <c r="AK91" i="5"/>
  <c r="AO91" i="5"/>
  <c r="AH91" i="5"/>
  <c r="AQ91" i="5"/>
  <c r="BI91" i="5"/>
  <c r="AL91" i="5"/>
  <c r="AP91" i="5"/>
  <c r="BG91" i="5"/>
  <c r="AN91" i="5"/>
  <c r="BF91" i="5"/>
  <c r="BH91" i="5"/>
  <c r="AJ91" i="5"/>
  <c r="AM91" i="5"/>
  <c r="BO91" i="5"/>
  <c r="C91" i="5"/>
  <c r="AI91" i="5"/>
  <c r="BM91" i="5"/>
  <c r="BG92" i="5"/>
  <c r="BO92" i="5"/>
  <c r="AI92" i="5"/>
  <c r="AM92" i="5"/>
  <c r="AK92" i="5"/>
  <c r="AO92" i="5"/>
  <c r="C92" i="5"/>
  <c r="AQ92" i="5"/>
  <c r="BI92" i="5"/>
  <c r="BF92" i="5"/>
  <c r="BM92" i="5"/>
  <c r="AL92" i="5"/>
  <c r="AP92" i="5"/>
  <c r="AH92" i="5"/>
  <c r="AJ92" i="5"/>
  <c r="BH92" i="5"/>
  <c r="AN92" i="5"/>
  <c r="BG90" i="5"/>
  <c r="AH90" i="5"/>
  <c r="AJ90" i="5"/>
  <c r="AM90" i="5"/>
  <c r="BI90" i="5"/>
  <c r="C90" i="5"/>
  <c r="AP90" i="5"/>
  <c r="BM90" i="5"/>
  <c r="AO90" i="5"/>
  <c r="AI90" i="5"/>
  <c r="AQ90" i="5"/>
  <c r="AL90" i="5"/>
  <c r="BH90" i="5"/>
  <c r="BF90" i="5"/>
  <c r="AK90" i="5"/>
  <c r="BO90" i="5"/>
  <c r="AN90" i="5"/>
  <c r="AH96" i="5"/>
  <c r="BF96" i="5"/>
  <c r="AQ96" i="5"/>
  <c r="C96" i="5"/>
  <c r="AJ96" i="5"/>
  <c r="AK96" i="5"/>
  <c r="AP96" i="5"/>
  <c r="AL96" i="5"/>
  <c r="AM96" i="5"/>
  <c r="BO96" i="5"/>
  <c r="BM96" i="5"/>
  <c r="BI96" i="5"/>
  <c r="AN96" i="5"/>
  <c r="BH96" i="5"/>
  <c r="AO96" i="5"/>
  <c r="AI96" i="5"/>
  <c r="BG96" i="5"/>
  <c r="J77" i="5"/>
  <c r="K77" i="5" s="1"/>
  <c r="C25" i="5" s="1"/>
  <c r="AE97" i="5" l="1"/>
  <c r="AE98" i="5" s="1"/>
  <c r="AE99" i="5" s="1"/>
  <c r="AA97" i="5"/>
  <c r="AA98" i="5" s="1"/>
  <c r="AA99" i="5" s="1"/>
  <c r="W97" i="5"/>
  <c r="W98" i="5" s="1"/>
  <c r="W99" i="5" s="1"/>
  <c r="S97" i="5"/>
  <c r="S98" i="5" s="1"/>
  <c r="S99" i="5" s="1"/>
  <c r="O97" i="5"/>
  <c r="O98" i="5" s="1"/>
  <c r="O99" i="5" s="1"/>
  <c r="K97" i="5"/>
  <c r="K98" i="5" s="1"/>
  <c r="K99" i="5" s="1"/>
  <c r="G97" i="5"/>
  <c r="G98" i="5" s="1"/>
  <c r="G99" i="5" s="1"/>
  <c r="AD97" i="5"/>
  <c r="AD98" i="5" s="1"/>
  <c r="AD99" i="5" s="1"/>
  <c r="Z97" i="5"/>
  <c r="Z98" i="5" s="1"/>
  <c r="Z99" i="5" s="1"/>
  <c r="V97" i="5"/>
  <c r="V98" i="5" s="1"/>
  <c r="V99" i="5" s="1"/>
  <c r="R97" i="5"/>
  <c r="R98" i="5" s="1"/>
  <c r="R99" i="5" s="1"/>
  <c r="AC97" i="5"/>
  <c r="AC98" i="5" s="1"/>
  <c r="AC99" i="5" s="1"/>
  <c r="U97" i="5"/>
  <c r="U98" i="5" s="1"/>
  <c r="U99" i="5" s="1"/>
  <c r="N97" i="5"/>
  <c r="N98" i="5" s="1"/>
  <c r="N99" i="5" s="1"/>
  <c r="I97" i="5"/>
  <c r="I98" i="5" s="1"/>
  <c r="I99" i="5" s="1"/>
  <c r="Q97" i="5"/>
  <c r="Q98" i="5" s="1"/>
  <c r="Q99" i="5" s="1"/>
  <c r="F97" i="5"/>
  <c r="F98" i="5" s="1"/>
  <c r="F99" i="5" s="1"/>
  <c r="AB97" i="5"/>
  <c r="AB98" i="5" s="1"/>
  <c r="AB99" i="5" s="1"/>
  <c r="T97" i="5"/>
  <c r="T98" i="5" s="1"/>
  <c r="T99" i="5" s="1"/>
  <c r="M97" i="5"/>
  <c r="M98" i="5" s="1"/>
  <c r="M99" i="5" s="1"/>
  <c r="H97" i="5"/>
  <c r="H98" i="5" s="1"/>
  <c r="H99" i="5" s="1"/>
  <c r="Y97" i="5"/>
  <c r="Y98" i="5" s="1"/>
  <c r="Y99" i="5" s="1"/>
  <c r="L97" i="5"/>
  <c r="X97" i="5"/>
  <c r="X98" i="5" s="1"/>
  <c r="X99" i="5" s="1"/>
  <c r="P97" i="5"/>
  <c r="P98" i="5" s="1"/>
  <c r="P99" i="5" s="1"/>
  <c r="J97" i="5"/>
  <c r="J98" i="5" s="1"/>
  <c r="J99" i="5" s="1"/>
  <c r="E97" i="5"/>
  <c r="E98" i="5" s="1"/>
  <c r="E99" i="5" s="1"/>
  <c r="L98" i="5"/>
  <c r="L99" i="5" s="1"/>
  <c r="AS97" i="5"/>
  <c r="AS98" i="5" s="1"/>
  <c r="AS99" i="5" s="1"/>
  <c r="AW97" i="5"/>
  <c r="AW98" i="5" s="1"/>
  <c r="AW99" i="5" s="1"/>
  <c r="BA97" i="5"/>
  <c r="BE97" i="5"/>
  <c r="BE98" i="5" s="1"/>
  <c r="BE99" i="5" s="1"/>
  <c r="AU97" i="5"/>
  <c r="AU98" i="5" s="1"/>
  <c r="AU99" i="5" s="1"/>
  <c r="BC97" i="5"/>
  <c r="BC98" i="5" s="1"/>
  <c r="BC99" i="5" s="1"/>
  <c r="AT97" i="5"/>
  <c r="AT98" i="5" s="1"/>
  <c r="AT99" i="5" s="1"/>
  <c r="AX97" i="5"/>
  <c r="AX98" i="5" s="1"/>
  <c r="AX99" i="5" s="1"/>
  <c r="BB97" i="5"/>
  <c r="BB98" i="5" s="1"/>
  <c r="BB99" i="5" s="1"/>
  <c r="AY97" i="5"/>
  <c r="AY98" i="5" s="1"/>
  <c r="AY99" i="5" s="1"/>
  <c r="AV97" i="5"/>
  <c r="AV98" i="5" s="1"/>
  <c r="AV99" i="5" s="1"/>
  <c r="AZ97" i="5"/>
  <c r="AZ98" i="5" s="1"/>
  <c r="AZ99" i="5" s="1"/>
  <c r="BD97" i="5"/>
  <c r="BD98" i="5" s="1"/>
  <c r="BD99" i="5" s="1"/>
  <c r="AR97" i="5"/>
  <c r="AR98" i="5" s="1"/>
  <c r="AR99" i="5" s="1"/>
  <c r="BA98" i="5"/>
  <c r="BA99" i="5" s="1"/>
  <c r="BN97" i="5"/>
  <c r="BN98" i="5" s="1"/>
  <c r="BN99" i="5" s="1"/>
  <c r="AG97" i="5"/>
  <c r="AG98" i="5" s="1"/>
  <c r="AG99" i="5" s="1"/>
  <c r="BK97" i="5"/>
  <c r="BK98" i="5" s="1"/>
  <c r="BK99" i="5" s="1"/>
  <c r="BL97" i="5"/>
  <c r="BL98" i="5" s="1"/>
  <c r="BL99" i="5" s="1"/>
  <c r="BJ97" i="5"/>
  <c r="BJ98" i="5" s="1"/>
  <c r="BJ99" i="5" s="1"/>
  <c r="D97" i="5"/>
  <c r="D98" i="5" s="1"/>
  <c r="D99" i="5" s="1"/>
  <c r="AF97" i="5"/>
  <c r="AF98" i="5" s="1"/>
  <c r="AF99" i="5" s="1"/>
  <c r="C97" i="5"/>
  <c r="BG97" i="5"/>
  <c r="BG98" i="5" s="1"/>
  <c r="BG99" i="5" s="1"/>
  <c r="BO97" i="5"/>
  <c r="BO98" i="5" s="1"/>
  <c r="BO99" i="5" s="1"/>
  <c r="AL97" i="5"/>
  <c r="AL98" i="5" s="1"/>
  <c r="AL99" i="5" s="1"/>
  <c r="AP97" i="5"/>
  <c r="AP98" i="5" s="1"/>
  <c r="AP99" i="5" s="1"/>
  <c r="BH97" i="5"/>
  <c r="BH98" i="5" s="1"/>
  <c r="BH99" i="5" s="1"/>
  <c r="AM97" i="5"/>
  <c r="AM98" i="5" s="1"/>
  <c r="AM99" i="5" s="1"/>
  <c r="BM97" i="5"/>
  <c r="BM98" i="5" s="1"/>
  <c r="BM99" i="5" s="1"/>
  <c r="AN97" i="5"/>
  <c r="AN98" i="5" s="1"/>
  <c r="AN99" i="5" s="1"/>
  <c r="BI97" i="5"/>
  <c r="BI98" i="5" s="1"/>
  <c r="BI99" i="5" s="1"/>
  <c r="AO97" i="5"/>
  <c r="AH97" i="5"/>
  <c r="AH98" i="5" s="1"/>
  <c r="AH99" i="5" s="1"/>
  <c r="AI97" i="5"/>
  <c r="AI98" i="5" s="1"/>
  <c r="AI99" i="5" s="1"/>
  <c r="BF97" i="5"/>
  <c r="AJ97" i="5"/>
  <c r="AJ98" i="5" s="1"/>
  <c r="AJ99" i="5" s="1"/>
  <c r="AQ97" i="5"/>
  <c r="AQ98" i="5" s="1"/>
  <c r="AQ99" i="5" s="1"/>
  <c r="AK97" i="5"/>
  <c r="AK98" i="5" s="1"/>
  <c r="AK99" i="5" s="1"/>
  <c r="BF98" i="5"/>
  <c r="BF99" i="5" s="1"/>
  <c r="AO98" i="5"/>
  <c r="AO99" i="5" s="1"/>
  <c r="C98" i="5" l="1"/>
  <c r="C99" i="5" s="1"/>
  <c r="BP99" i="5" s="1"/>
  <c r="M84" i="5" l="1"/>
  <c r="R84" i="5"/>
  <c r="O84" i="5"/>
  <c r="AE84" i="5"/>
  <c r="F84" i="5"/>
  <c r="H84" i="5"/>
  <c r="X84" i="5"/>
  <c r="U84" i="5"/>
  <c r="AD84" i="5"/>
  <c r="S84" i="5"/>
  <c r="I84" i="5"/>
  <c r="N84" i="5"/>
  <c r="L84" i="5"/>
  <c r="AB84" i="5"/>
  <c r="AC84" i="5"/>
  <c r="G84" i="5"/>
  <c r="W84" i="5"/>
  <c r="Q84" i="5"/>
  <c r="V84" i="5"/>
  <c r="P84" i="5"/>
  <c r="E84" i="5"/>
  <c r="J84" i="5"/>
  <c r="K84" i="5"/>
  <c r="AA84" i="5"/>
  <c r="Y84" i="5"/>
  <c r="Z84" i="5"/>
  <c r="T84" i="5"/>
  <c r="C84" i="5"/>
  <c r="BE84" i="5" l="1"/>
  <c r="BA84" i="5"/>
  <c r="AU84" i="5"/>
  <c r="AX84" i="5"/>
  <c r="AW84" i="5"/>
  <c r="AS84" i="5"/>
  <c r="AZ84" i="5"/>
  <c r="AT84" i="5"/>
  <c r="BD84" i="5"/>
  <c r="BC84" i="5"/>
  <c r="AR84" i="5"/>
  <c r="AV84" i="5"/>
  <c r="AY84" i="5"/>
  <c r="BB84" i="5"/>
  <c r="AF84" i="5"/>
  <c r="BN84" i="5"/>
  <c r="BO84" i="5"/>
  <c r="BH84" i="5"/>
  <c r="AN84" i="5"/>
  <c r="AH84" i="5"/>
  <c r="BK84" i="5"/>
  <c r="AO84" i="5"/>
  <c r="BL84" i="5"/>
  <c r="BG84" i="5"/>
  <c r="AP84" i="5"/>
  <c r="BM84" i="5"/>
  <c r="D84" i="5"/>
  <c r="AJ84" i="5"/>
  <c r="BF84" i="5"/>
  <c r="AK84" i="5"/>
  <c r="BJ84" i="5"/>
  <c r="AL84" i="5"/>
  <c r="AG84" i="5"/>
  <c r="AM84" i="5"/>
  <c r="BI84" i="5"/>
  <c r="AI84" i="5"/>
  <c r="AQ84" i="5"/>
  <c r="D11" i="5" l="1"/>
  <c r="F23" i="5" l="1"/>
  <c r="AA23" i="5" s="1"/>
  <c r="I23" i="5"/>
  <c r="F22" i="5"/>
  <c r="AA22" i="5" s="1"/>
  <c r="I21" i="5"/>
  <c r="I22" i="5"/>
  <c r="F24" i="5"/>
  <c r="AA24" i="5" s="1"/>
  <c r="F16" i="5"/>
  <c r="AA16" i="5" s="1"/>
  <c r="F20" i="5"/>
  <c r="AA20" i="5" s="1"/>
  <c r="I20" i="5"/>
  <c r="I14" i="5"/>
  <c r="I15" i="5"/>
  <c r="F21" i="5"/>
  <c r="AA21" i="5" s="1"/>
  <c r="F17" i="5"/>
  <c r="AA17" i="5" s="1"/>
  <c r="F19" i="5"/>
  <c r="AA19" i="5" s="1"/>
  <c r="I18" i="5"/>
  <c r="I16" i="5"/>
  <c r="F14" i="5"/>
  <c r="AA14" i="5" s="1"/>
  <c r="F15" i="5"/>
  <c r="AA15" i="5" s="1"/>
  <c r="F18" i="5"/>
  <c r="AA18" i="5" s="1"/>
  <c r="I19" i="5"/>
  <c r="I24" i="5"/>
  <c r="I17" i="5"/>
  <c r="F25" i="5"/>
  <c r="AA25" i="5" s="1"/>
  <c r="I25" i="5"/>
  <c r="AA26" i="5" l="1"/>
  <c r="I26" i="5"/>
  <c r="J25" i="5"/>
  <c r="G25" i="5"/>
  <c r="H25" i="5" s="1"/>
  <c r="G19" i="5"/>
  <c r="H19" i="5" s="1"/>
  <c r="J19" i="5"/>
  <c r="J16" i="5"/>
  <c r="G16" i="5"/>
  <c r="H16" i="5" s="1"/>
  <c r="J21" i="5"/>
  <c r="G21" i="5"/>
  <c r="H21" i="5" s="1"/>
  <c r="J18" i="5"/>
  <c r="G18" i="5"/>
  <c r="H18" i="5" s="1"/>
  <c r="J15" i="5"/>
  <c r="G15" i="5"/>
  <c r="H15" i="5" s="1"/>
  <c r="G17" i="5"/>
  <c r="H17" i="5" s="1"/>
  <c r="J17" i="5"/>
  <c r="J14" i="5"/>
  <c r="G14" i="5"/>
  <c r="J23" i="5"/>
  <c r="G23" i="5"/>
  <c r="H23" i="5" s="1"/>
  <c r="J24" i="5"/>
  <c r="G24" i="5"/>
  <c r="H24" i="5" s="1"/>
  <c r="F26" i="5"/>
  <c r="J20" i="5"/>
  <c r="G20" i="5"/>
  <c r="H20" i="5" s="1"/>
  <c r="J22" i="5"/>
  <c r="G22" i="5"/>
  <c r="H22" i="5" s="1"/>
  <c r="J26" i="5" l="1"/>
  <c r="H14" i="5"/>
  <c r="H26" i="5" s="1"/>
  <c r="G26" i="5"/>
  <c r="AE26" i="5" l="1"/>
  <c r="Y14" i="5"/>
  <c r="Y25" i="5"/>
  <c r="N25" i="5" s="1"/>
  <c r="Y16" i="5"/>
  <c r="Y18" i="5"/>
  <c r="N18" i="5" s="1"/>
  <c r="N20" i="5"/>
  <c r="Y20" i="5"/>
  <c r="Y15" i="5"/>
  <c r="Y19" i="5"/>
  <c r="N19" i="5" s="1"/>
  <c r="Y17" i="5"/>
  <c r="Y24" i="5"/>
  <c r="N24" i="5"/>
  <c r="Y21" i="5"/>
  <c r="N21" i="5" s="1"/>
  <c r="Y22" i="5"/>
  <c r="N22" i="5" s="1"/>
  <c r="Y23" i="5"/>
  <c r="N23" i="5" s="1"/>
  <c r="Y26" i="5" l="1"/>
</calcChain>
</file>

<file path=xl/sharedStrings.xml><?xml version="1.0" encoding="utf-8"?>
<sst xmlns="http://schemas.openxmlformats.org/spreadsheetml/2006/main" count="387" uniqueCount="207">
  <si>
    <t>Input</t>
  </si>
  <si>
    <t>C6</t>
  </si>
  <si>
    <t>Component</t>
  </si>
  <si>
    <t>Formula</t>
  </si>
  <si>
    <t>MW</t>
  </si>
  <si>
    <t>Z</t>
  </si>
  <si>
    <t>N2</t>
  </si>
  <si>
    <t>CO2</t>
  </si>
  <si>
    <t>H2S</t>
  </si>
  <si>
    <t>CH4</t>
  </si>
  <si>
    <t>C2H6</t>
  </si>
  <si>
    <t>C3H8</t>
  </si>
  <si>
    <t>C4H10</t>
  </si>
  <si>
    <t>C5H12</t>
  </si>
  <si>
    <t>C6H14</t>
  </si>
  <si>
    <t>C7+</t>
  </si>
  <si>
    <t xml:space="preserve">  </t>
  </si>
  <si>
    <t>Multicomponent Equilibrium Flash Calculation</t>
  </si>
  <si>
    <t>http://excelcalculations.blogspot.com/2011/07/equilibrium-flash-excel.html</t>
  </si>
  <si>
    <t>Feed Rate, moles/hr</t>
  </si>
  <si>
    <t>Feed Temperature, F</t>
  </si>
  <si>
    <t>Feed Pressure, psia</t>
  </si>
  <si>
    <t xml:space="preserve">enter 1 to calulate using Wilson Correlation K values, 2 for Standing Correlation K values </t>
  </si>
  <si>
    <t>Eq Const (K value)</t>
  </si>
  <si>
    <t>Moles in Feed</t>
  </si>
  <si>
    <t>Mole fraction in feed</t>
  </si>
  <si>
    <t>Rachford-Rice equation</t>
  </si>
  <si>
    <t>Moles in liquid</t>
  </si>
  <si>
    <t>Moles in vapour</t>
  </si>
  <si>
    <t>Mole fraction in liquid</t>
  </si>
  <si>
    <t>Mole fraction in vapor</t>
  </si>
  <si>
    <t>C1</t>
  </si>
  <si>
    <t xml:space="preserve">C2 </t>
  </si>
  <si>
    <t>C3</t>
  </si>
  <si>
    <t>iC4</t>
  </si>
  <si>
    <t>nC4</t>
  </si>
  <si>
    <t>iC5</t>
  </si>
  <si>
    <t>nC5</t>
  </si>
  <si>
    <t>TOTALS</t>
  </si>
  <si>
    <t>Rachford - Rice Equation</t>
  </si>
  <si>
    <r>
      <t>where z</t>
    </r>
    <r>
      <rPr>
        <vertAlign val="subscript"/>
        <sz val="10"/>
        <rFont val="Trebuchet MS"/>
        <family val="2"/>
      </rPr>
      <t>i</t>
    </r>
    <r>
      <rPr>
        <sz val="10"/>
        <rFont val="Trebuchet MS"/>
        <family val="2"/>
      </rPr>
      <t> is the mole fraction of component i in the liquid feed, K</t>
    </r>
    <r>
      <rPr>
        <vertAlign val="subscript"/>
        <sz val="10"/>
        <rFont val="Trebuchet MS"/>
        <family val="2"/>
      </rPr>
      <t>i</t>
    </r>
    <r>
      <rPr>
        <sz val="10"/>
        <rFont val="Trebuchet MS"/>
        <family val="2"/>
      </rPr>
      <t xml:space="preserve"> is the equilibrium constant </t>
    </r>
  </si>
  <si>
    <t>(at the appropriate temperature and pressure) and β is the fraction of feed that is vaporised. Obviously, β is between 0 and 1.</t>
  </si>
  <si>
    <t>xi = zi/(1-B+B*Ki)</t>
  </si>
  <si>
    <t>B = fraction of feed vaporized</t>
  </si>
  <si>
    <t>yi=Ki*xi</t>
  </si>
  <si>
    <t>Determining K values for natural gas streams with pressures &lt;1000 psia and temperatures &lt;200 F</t>
  </si>
  <si>
    <t>developed by Wayne Landon</t>
  </si>
  <si>
    <t>Standing Correlation</t>
  </si>
  <si>
    <t>Wilson Correlation</t>
  </si>
  <si>
    <r>
      <t>K</t>
    </r>
    <r>
      <rPr>
        <vertAlign val="subscript"/>
        <sz val="11"/>
        <color theme="1"/>
        <rFont val="Aptos Narrow"/>
        <family val="2"/>
        <scheme val="minor"/>
      </rPr>
      <t>i</t>
    </r>
    <r>
      <rPr>
        <sz val="11"/>
        <color theme="1"/>
        <rFont val="Aptos Narrow"/>
        <family val="2"/>
        <scheme val="minor"/>
      </rPr>
      <t xml:space="preserve"> = 1/P*10^(a+c*F</t>
    </r>
    <r>
      <rPr>
        <vertAlign val="subscript"/>
        <sz val="11"/>
        <color theme="1"/>
        <rFont val="Aptos Narrow"/>
        <family val="2"/>
        <scheme val="minor"/>
      </rPr>
      <t>i</t>
    </r>
    <r>
      <rPr>
        <sz val="11"/>
        <color theme="1"/>
        <rFont val="Aptos Narrow"/>
        <family val="2"/>
        <scheme val="minor"/>
      </rPr>
      <t>) = equilibrium ratio of component i</t>
    </r>
  </si>
  <si>
    <r>
      <t>K</t>
    </r>
    <r>
      <rPr>
        <vertAlign val="subscript"/>
        <sz val="11"/>
        <color theme="1"/>
        <rFont val="Aptos Narrow"/>
        <family val="2"/>
        <scheme val="minor"/>
      </rPr>
      <t>i</t>
    </r>
    <r>
      <rPr>
        <sz val="11"/>
        <color theme="1"/>
        <rFont val="Aptos Narrow"/>
        <family val="2"/>
        <scheme val="minor"/>
      </rPr>
      <t xml:space="preserve"> = P</t>
    </r>
    <r>
      <rPr>
        <vertAlign val="subscript"/>
        <sz val="11"/>
        <color theme="1"/>
        <rFont val="Aptos Narrow"/>
        <family val="2"/>
        <scheme val="minor"/>
      </rPr>
      <t>ci</t>
    </r>
    <r>
      <rPr>
        <sz val="11"/>
        <color theme="1"/>
        <rFont val="Aptos Narrow"/>
        <family val="2"/>
        <scheme val="minor"/>
      </rPr>
      <t>/P*exp(5.37*(1+w</t>
    </r>
    <r>
      <rPr>
        <vertAlign val="subscript"/>
        <sz val="11"/>
        <color theme="1"/>
        <rFont val="Aptos Narrow"/>
        <family val="2"/>
        <scheme val="minor"/>
      </rPr>
      <t>i</t>
    </r>
    <r>
      <rPr>
        <sz val="11"/>
        <color theme="1"/>
        <rFont val="Aptos Narrow"/>
        <family val="2"/>
        <scheme val="minor"/>
      </rPr>
      <t>)*(1-T</t>
    </r>
    <r>
      <rPr>
        <vertAlign val="subscript"/>
        <sz val="11"/>
        <color theme="1"/>
        <rFont val="Aptos Narrow"/>
        <family val="2"/>
        <scheme val="minor"/>
      </rPr>
      <t>ci</t>
    </r>
    <r>
      <rPr>
        <sz val="11"/>
        <color theme="1"/>
        <rFont val="Aptos Narrow"/>
        <family val="2"/>
        <scheme val="minor"/>
      </rPr>
      <t>/T))</t>
    </r>
  </si>
  <si>
    <r>
      <t>F</t>
    </r>
    <r>
      <rPr>
        <vertAlign val="subscript"/>
        <sz val="11"/>
        <color theme="1"/>
        <rFont val="Aptos Narrow"/>
        <family val="2"/>
        <scheme val="minor"/>
      </rPr>
      <t>i</t>
    </r>
    <r>
      <rPr>
        <sz val="11"/>
        <color theme="1"/>
        <rFont val="Aptos Narrow"/>
        <family val="2"/>
        <scheme val="minor"/>
      </rPr>
      <t xml:space="preserve"> = b</t>
    </r>
    <r>
      <rPr>
        <vertAlign val="subscript"/>
        <sz val="11"/>
        <color theme="1"/>
        <rFont val="Aptos Narrow"/>
        <family val="2"/>
        <scheme val="minor"/>
      </rPr>
      <t>i</t>
    </r>
    <r>
      <rPr>
        <sz val="11"/>
        <color theme="1"/>
        <rFont val="Aptos Narrow"/>
        <family val="2"/>
        <scheme val="minor"/>
      </rPr>
      <t>*(1/T</t>
    </r>
    <r>
      <rPr>
        <vertAlign val="subscript"/>
        <sz val="11"/>
        <color theme="1"/>
        <rFont val="Aptos Narrow"/>
        <family val="2"/>
        <scheme val="minor"/>
      </rPr>
      <t>bi</t>
    </r>
    <r>
      <rPr>
        <sz val="11"/>
        <color theme="1"/>
        <rFont val="Aptos Narrow"/>
        <family val="2"/>
        <scheme val="minor"/>
      </rPr>
      <t>-1/T) = component charaterization factor</t>
    </r>
  </si>
  <si>
    <r>
      <t>w</t>
    </r>
    <r>
      <rPr>
        <vertAlign val="subscript"/>
        <sz val="11"/>
        <color theme="1"/>
        <rFont val="Aptos Narrow"/>
        <family val="2"/>
        <scheme val="minor"/>
      </rPr>
      <t>i</t>
    </r>
    <r>
      <rPr>
        <sz val="11"/>
        <color theme="1"/>
        <rFont val="Aptos Narrow"/>
        <family val="2"/>
        <scheme val="minor"/>
      </rPr>
      <t xml:space="preserve"> = acentric factor for component I </t>
    </r>
  </si>
  <si>
    <t>T = system temperature, R</t>
  </si>
  <si>
    <r>
      <t>T</t>
    </r>
    <r>
      <rPr>
        <vertAlign val="subscript"/>
        <sz val="11"/>
        <color theme="1"/>
        <rFont val="Aptos Narrow"/>
        <family val="2"/>
        <scheme val="minor"/>
      </rPr>
      <t xml:space="preserve">ci </t>
    </r>
    <r>
      <rPr>
        <sz val="11"/>
        <color theme="1"/>
        <rFont val="Aptos Narrow"/>
        <family val="2"/>
        <scheme val="minor"/>
      </rPr>
      <t>= critical temperature for component i</t>
    </r>
  </si>
  <si>
    <t>P = psia</t>
  </si>
  <si>
    <t>P = system pressure, psia</t>
  </si>
  <si>
    <r>
      <t>P</t>
    </r>
    <r>
      <rPr>
        <vertAlign val="subscript"/>
        <sz val="11"/>
        <color theme="1"/>
        <rFont val="Aptos Narrow"/>
        <family val="2"/>
        <scheme val="minor"/>
      </rPr>
      <t>ci</t>
    </r>
    <r>
      <rPr>
        <sz val="11"/>
        <color theme="1"/>
        <rFont val="Aptos Narrow"/>
        <family val="2"/>
        <scheme val="minor"/>
      </rPr>
      <t xml:space="preserve"> = critical pressure for component i</t>
    </r>
  </si>
  <si>
    <r>
      <t>T</t>
    </r>
    <r>
      <rPr>
        <vertAlign val="subscript"/>
        <sz val="11"/>
        <color theme="1"/>
        <rFont val="Aptos Narrow"/>
        <family val="2"/>
        <scheme val="minor"/>
      </rPr>
      <t>bi</t>
    </r>
    <r>
      <rPr>
        <sz val="11"/>
        <color theme="1"/>
        <rFont val="Aptos Narrow"/>
        <family val="2"/>
        <scheme val="minor"/>
      </rPr>
      <t xml:space="preserve"> = normal boiling point of component i, deg R</t>
    </r>
  </si>
  <si>
    <t>bi =( log(Pci/14.7))/(1/Tbi - 1/Tci)</t>
  </si>
  <si>
    <t>a = 1.2+0.00045*P+15(10^-8)*P^2</t>
  </si>
  <si>
    <t>c= 0.89-0.00017*P-3.5(10^-8)*P^2</t>
  </si>
  <si>
    <t>n(C7+) = 7.3+0.0075*T+0.0016*P, where T is in deg F</t>
  </si>
  <si>
    <t>b (C7+) = 1013+324*n-4.256*n^2</t>
  </si>
  <si>
    <r>
      <t>T</t>
    </r>
    <r>
      <rPr>
        <vertAlign val="subscript"/>
        <sz val="11"/>
        <color theme="1"/>
        <rFont val="Aptos Narrow"/>
        <family val="2"/>
        <scheme val="minor"/>
      </rPr>
      <t>b( C7+)</t>
    </r>
    <r>
      <rPr>
        <sz val="11"/>
        <color theme="1"/>
        <rFont val="Aptos Narrow"/>
        <family val="2"/>
        <scheme val="minor"/>
      </rPr>
      <t>=301+59.85*n-0.971*n^2</t>
    </r>
  </si>
  <si>
    <t>``</t>
  </si>
  <si>
    <t>Standing</t>
  </si>
  <si>
    <t>Wilson</t>
  </si>
  <si>
    <r>
      <t>P</t>
    </r>
    <r>
      <rPr>
        <b/>
        <i/>
        <vertAlign val="subscript"/>
        <sz val="11"/>
        <color theme="1"/>
        <rFont val="Aptos Narrow"/>
        <family val="2"/>
        <scheme val="minor"/>
      </rPr>
      <t>ci</t>
    </r>
    <r>
      <rPr>
        <b/>
        <i/>
        <sz val="11"/>
        <color theme="1"/>
        <rFont val="Aptos Narrow"/>
        <family val="2"/>
        <scheme val="minor"/>
      </rPr>
      <t xml:space="preserve"> (psia)</t>
    </r>
  </si>
  <si>
    <r>
      <t>T</t>
    </r>
    <r>
      <rPr>
        <b/>
        <i/>
        <vertAlign val="subscript"/>
        <sz val="11"/>
        <color theme="1"/>
        <rFont val="Aptos Narrow"/>
        <family val="2"/>
        <scheme val="minor"/>
      </rPr>
      <t>ci</t>
    </r>
    <r>
      <rPr>
        <b/>
        <i/>
        <sz val="11"/>
        <color theme="1"/>
        <rFont val="Aptos Narrow"/>
        <family val="2"/>
        <scheme val="minor"/>
      </rPr>
      <t xml:space="preserve"> (deg R)</t>
    </r>
  </si>
  <si>
    <t>w</t>
  </si>
  <si>
    <r>
      <t>b</t>
    </r>
    <r>
      <rPr>
        <b/>
        <i/>
        <vertAlign val="subscript"/>
        <sz val="11"/>
        <color theme="1"/>
        <rFont val="Aptos Narrow"/>
        <family val="2"/>
        <scheme val="minor"/>
      </rPr>
      <t>i</t>
    </r>
  </si>
  <si>
    <r>
      <t>T</t>
    </r>
    <r>
      <rPr>
        <b/>
        <i/>
        <vertAlign val="subscript"/>
        <sz val="11"/>
        <color theme="1"/>
        <rFont val="Aptos Narrow"/>
        <family val="2"/>
        <scheme val="minor"/>
      </rPr>
      <t>bi</t>
    </r>
  </si>
  <si>
    <r>
      <t>F</t>
    </r>
    <r>
      <rPr>
        <b/>
        <i/>
        <vertAlign val="subscript"/>
        <sz val="11"/>
        <color theme="1"/>
        <rFont val="Aptos Narrow"/>
        <family val="2"/>
        <scheme val="minor"/>
      </rPr>
      <t>i</t>
    </r>
  </si>
  <si>
    <r>
      <t>K</t>
    </r>
    <r>
      <rPr>
        <b/>
        <i/>
        <vertAlign val="subscript"/>
        <sz val="11"/>
        <color theme="1"/>
        <rFont val="Aptos Narrow"/>
        <family val="2"/>
        <scheme val="minor"/>
      </rPr>
      <t>i</t>
    </r>
  </si>
  <si>
    <t>C2</t>
  </si>
  <si>
    <t>Reference:  Reservoir Engineering Handbook 4th Ed by Tarek Hamed</t>
  </si>
  <si>
    <t>Equilibrium Ratios, Whitson Wiki, https://wiki.whitson.com/phase_behavior/properties/kvalues/</t>
  </si>
  <si>
    <t>Standing Correlation - an overview | ScienceDirect Topics</t>
  </si>
  <si>
    <t>Standing's Correlation</t>
  </si>
  <si>
    <t>Hoffmann etal.(1953), Brinkman and Sicking (1960), Kehn(1964), and Dykstra and Mueller (1965) suggested that any pure hydrocarbon or nonhydrocarbon component could be uniquely characterized by combining its boiling-point temperature, critical temperature, and critical pressure into a characterization parameter that is defined by the following expression:</t>
  </si>
  <si>
    <t>(15-18)Fi=bi[1/Tbi−1/T]</t>
  </si>
  <si>
    <t>with</t>
  </si>
  <si>
    <t>(15-19)bi=log(pci/14.7)[1/Tbi−1/Tci]</t>
  </si>
  <si>
    <t>where Fi = component characterization factor</t>
  </si>
  <si>
    <t>Tbi = normal boiling point of component i, °R</t>
  </si>
  <si>
    <t>Standing (1979) derived a set of equations that fit the equilibrium ratio data of Katz and Hachmuth (1937) at pressures of less than 1,000 psia and temperatures below 200°F. The proposed form of the correlation is based on an observation that plots of log(Kip) vs. Fi at a given pressure often form straight lines. The basic equation of the straight-line relationship is given by:</t>
  </si>
  <si>
    <t>log(Kip)=a+cFi</t>
  </si>
  <si>
    <t>Solving for the equilibrium ratio Ki gives:</t>
  </si>
  <si>
    <t>(15-20)Ki=1/p*10^(a+c*Fi)</t>
  </si>
  <si>
    <t>where the coefficients a and c are the intercept and the slope of the line, respectively.</t>
  </si>
  <si>
    <t>From a total of six isobar plots of log(Kip) vs. Fi for 18 sets of equilibrium ratio values, Standing correlated the coefficients a and c with the pressure, to give:</t>
  </si>
  <si>
    <t>(15-21)a=1.2+0.00045p+15(10−8)p2</t>
  </si>
  <si>
    <t>(15-22)c=0.89−0.00017p+3.5(10−8)p2</t>
  </si>
  <si>
    <t>Standing pointed out that the predicted values of the equilibrium ratios of N2, CO2, H2S, and C1 through C6 can be improved considerably by changing the correlating parameter bi and the boiling point of these components. The author proposed the following modified values:</t>
  </si>
  <si>
    <t>bi</t>
  </si>
  <si>
    <t>Tbi °R</t>
  </si>
  <si>
    <t>i – C4</t>
  </si>
  <si>
    <t>n – C4</t>
  </si>
  <si>
    <t>i – C5</t>
  </si>
  <si>
    <t>n – C5</t>
  </si>
  <si>
    <t>C6*</t>
  </si>
  <si>
    <t>n – C6</t>
  </si>
  <si>
    <t>n – C7</t>
  </si>
  <si>
    <t>n – C8</t>
  </si>
  <si>
    <t>n – C9</t>
  </si>
  <si>
    <t>n – C10</t>
  </si>
  <si>
    <t>*</t>
  </si>
  <si>
    <t>Lumped Hexanes-fraction.</t>
  </si>
  <si>
    <t>When making flash calculations, the question of the equilibrium ratio to use for the lumped heptanes-plus fraction always arises. One rule of thumb proposed by Katz and Hachmuth (1937) is that the K value for C7+ can be taken as 15% of the K of C7, or:</t>
  </si>
  <si>
    <t>KC7+=0.15KC7+</t>
  </si>
  <si>
    <t>Standing (1979) offered an alternative approach for determining the K value of the heptanes and heavier fractions. By imposing experimental equilibrium ratio values for C7+ on Equation 15-20, Standing calculated the corresponding characterization factors Fi for the plus fraction. The calculated Fi values were used to specify the pure normal paraffin hydrocarbon having the K value of the C7+ fraction.</t>
  </si>
  <si>
    <t>Standing suggested the following computational steps for determining the parameters b and Tb of the heptanes-plus fraction.</t>
  </si>
  <si>
    <t>Step 1.</t>
  </si>
  <si>
    <t>Determine, from the following relationship, the number of carbon atoms n of the normal paraffin hydrocarbon having the K value of the C7+ fraction,</t>
  </si>
  <si>
    <t>(15-23)n=7.30+0.0075(T−460)+0.0016p</t>
  </si>
  <si>
    <t>Step 2.</t>
  </si>
  <si>
    <t>Calculate the correlating parameter b and the boiling point Tb from the following expression:</t>
  </si>
  <si>
    <t>(15-24)b=1013+324n−4.256n2</t>
  </si>
  <si>
    <t>(15-25)Tb=301+59.85n−0.971n2</t>
  </si>
  <si>
    <t>The above calculated values can then be used in Equation 15-18 to evaluate Fi for the heptanes-plus fraction, i.e., FC7+. It is also interesting to note that experimental phase equilibria data suggest that the equilibrium ratio for carbon dioxide can be closely approximated by the following relationship:</t>
  </si>
  <si>
    <t>KCO2=KC1KC2</t>
  </si>
  <si>
    <t>where KCO2 = equilibrium ratio of CO2</t>
  </si>
  <si>
    <t>KC1 = equilibrium ratio of methane</t>
  </si>
  <si>
    <t>KC2 = equilibrium ratio of ethane</t>
  </si>
  <si>
    <t>Example 15-2</t>
  </si>
  <si>
    <t>A hydrocarbon mixture with the following composition is flashed at 1,000 psia and 150°F.</t>
  </si>
  <si>
    <t>zi</t>
  </si>
  <si>
    <t>If the molecular weight and specific gravity of C7+ are 150.0 and 0.78, respectively, calculate the equilibrium ratios by using:</t>
  </si>
  <si>
    <t>a.</t>
  </si>
  <si>
    <t>Wilson's correlation</t>
  </si>
  <si>
    <t>b.</t>
  </si>
  <si>
    <t>Standing's correlation</t>
  </si>
  <si>
    <t>Solution</t>
  </si>
  <si>
    <t>Calculate the critical pressure, critical temperature, and acentric factor of C7+ by using the characterization method of Riazi and Daubert discussed in Chapter 1. Example 1-1, page 27, gives:</t>
  </si>
  <si>
    <t>Tc = 1139.4°R, pc = 320.3 psia, ω =0.5067</t>
  </si>
  <si>
    <t>Apply Equation 15-17 to give:</t>
  </si>
  <si>
    <t>Pc, psia</t>
  </si>
  <si>
    <t>Tc, °R</t>
  </si>
  <si>
    <t>ω</t>
  </si>
  <si>
    <t>Ki=pd1000exp[5.37(1+ωi)(1−Td610)]</t>
  </si>
  <si>
    <t>Calculate coefficients a and c from Equations 15-21 and 15-22 to give:</t>
  </si>
  <si>
    <t>a=1.2+0.00045(1000)+15(10−8)(1000)2=1.80c=0.89−0.00017(1000)−3.5(10−8)(1000)2=0.685</t>
  </si>
  <si>
    <t>Calculate the number of carbon atoms n from Equation 15-23 to give:</t>
  </si>
  <si>
    <t>n=7.3+0.0075(150)+0.0016(1000)=10.025</t>
  </si>
  <si>
    <t>Step 3.</t>
  </si>
  <si>
    <t>Determine the parameter b and the boiling point Tb for the hydrocarbon component with n carbon atoms by using Equations 15-24 and 15-25 to yield:</t>
  </si>
  <si>
    <t>b=1013+324(10.025)−4.256(10.025)2=3833.369Tb=301+59.85(10.025)−0.971(10.025)2=803.41°R</t>
  </si>
  <si>
    <t>Step 4.</t>
  </si>
  <si>
    <t>Apply Equation 15-20, to give:</t>
  </si>
  <si>
    <t>Empty Cell</t>
  </si>
  <si>
    <t>Fi</t>
  </si>
  <si>
    <t>Ki</t>
  </si>
  <si>
    <t>Tbi</t>
  </si>
  <si>
    <t>Eq. 15-18</t>
  </si>
  <si>
    <t>Eq. 15-20</t>
  </si>
  <si>
    <t>− 1.513</t>
  </si>
  <si>
    <t>Show less</t>
  </si>
  <si>
    <t>View chapter</t>
  </si>
  <si>
    <t>Book</t>
  </si>
  <si>
    <t>2010, Reservoir Engineering Handbook (Fourth Edition)</t>
  </si>
  <si>
    <t>Tarek Ahmed</t>
  </si>
  <si>
    <t>Chapter</t>
  </si>
  <si>
    <t>Equations of State and Phase Equilibria</t>
  </si>
  <si>
    <t>Step 3</t>
  </si>
  <si>
    <t>Flash the original composition through the first separator by generating the equilibrium ratios using the Standing correlation (equation 5-20) to give the results in the following table, with nL = 0.7209 and nυ = 0.29791.</t>
  </si>
  <si>
    <t>xi</t>
  </si>
  <si>
    <t>yi</t>
  </si>
  <si>
    <t>Mi</t>
  </si>
  <si>
    <t>i-C4</t>
  </si>
  <si>
    <t>n-C4</t>
  </si>
  <si>
    <t>i-C5</t>
  </si>
  <si>
    <t>n-C5</t>
  </si>
  <si>
    <t>PengRobinson</t>
  </si>
  <si>
    <t>V/F</t>
  </si>
  <si>
    <t>T, F</t>
  </si>
  <si>
    <t>P, psia</t>
  </si>
  <si>
    <t>Comparison of three vapor liquid equilibrium equations for 5.2GPM, 1174 Btu/cf well-head natural gas stream</t>
  </si>
  <si>
    <t>Peng Robinson results were provided with the use of DWSim process simulator</t>
  </si>
  <si>
    <t>Standing and Wilson results were provided from models above</t>
  </si>
  <si>
    <t>Correlations, Use and Examples</t>
  </si>
  <si>
    <t xml:space="preserve"> </t>
  </si>
  <si>
    <t>Fraction of feed vaporized</t>
  </si>
  <si>
    <t>B</t>
  </si>
  <si>
    <t>min at &lt;1</t>
  </si>
  <si>
    <t>Calculation Section (finding B - fraction vaporized- that minimizes Rachford Rice Equation)</t>
  </si>
  <si>
    <t>These version does not require a solver add-in</t>
  </si>
  <si>
    <t>Author recommends using the Standing correlation. especially when pressures exceed 400 psia (see analysis below, row 270)</t>
  </si>
  <si>
    <t>C7H16</t>
  </si>
  <si>
    <t>Composition mol%</t>
  </si>
  <si>
    <t>GPM,   gals/Mcf</t>
  </si>
  <si>
    <t>Boiling Pt, F@1atm</t>
  </si>
  <si>
    <t>Vap Pres, psia@100F</t>
  </si>
  <si>
    <t xml:space="preserve">Freezing Pt F </t>
  </si>
  <si>
    <t>Crit Pres, psia</t>
  </si>
  <si>
    <t>Crit. Temp F</t>
  </si>
  <si>
    <t>Liq Dens lb/gal</t>
  </si>
  <si>
    <t>Liq Dens gal/lbmol</t>
  </si>
  <si>
    <t>Vapor Spec Grav</t>
  </si>
  <si>
    <t>Liquid Spec Grav</t>
  </si>
  <si>
    <t>Vap Dens ft3/lb</t>
  </si>
  <si>
    <t>Cp, Gas Btu/lb-F</t>
  </si>
  <si>
    <t>Cp, Liq Btu/lb-F</t>
  </si>
  <si>
    <t>Hv, gas Btu/ft3</t>
  </si>
  <si>
    <t>Hv, liq Btu/lb</t>
  </si>
  <si>
    <t>Stream</t>
  </si>
  <si>
    <t>Physical Properties of Feed Stream (GPSA Handbook)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</si>
</sst>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0.0"/>
    <numFmt numFmtId="166" formatCode="0.000"/>
    <numFmt numFmtId="167" formatCode="0.00000"/>
  </numFmts>
  <fonts count="15" x14ac:knownFonts="1">
    <font>
      <sz val="11"/>
      <color theme="1"/>
      <name val="Aptos Narrow"/>
      <family val="2"/>
      <scheme val="minor"/>
    </font>
    <font>
      <b/>
      <sz val="11"/>
      <color theme="1"/>
      <name val="Aptos Narrow"/>
      <family val="2"/>
      <scheme val="minor"/>
    </font>
    <font>
      <u/>
      <sz val="11"/>
      <color theme="10"/>
      <name val="Aptos Narrow"/>
      <family val="2"/>
      <scheme val="minor"/>
    </font>
    <font>
      <b/>
      <sz val="16"/>
      <color theme="1"/>
      <name val="Aptos Narrow"/>
      <family val="2"/>
      <scheme val="minor"/>
    </font>
    <font>
      <u/>
      <sz val="11"/>
      <color theme="1"/>
      <name val="Aptos Narrow"/>
      <family val="2"/>
      <scheme val="minor"/>
    </font>
    <font>
      <b/>
      <sz val="14"/>
      <color theme="1"/>
      <name val="Aptos Narrow"/>
      <family val="2"/>
      <scheme val="minor"/>
    </font>
    <font>
      <b/>
      <sz val="20"/>
      <color theme="1"/>
      <name val="Aptos Narrow"/>
      <family val="2"/>
      <scheme val="minor"/>
    </font>
    <font>
      <b/>
      <i/>
      <sz val="11"/>
      <color theme="1"/>
      <name val="Aptos Narrow"/>
      <family val="2"/>
      <scheme val="minor"/>
    </font>
    <font>
      <sz val="10"/>
      <name val="Trebuchet MS"/>
      <family val="2"/>
    </font>
    <font>
      <vertAlign val="subscript"/>
      <sz val="10"/>
      <name val="Trebuchet MS"/>
      <family val="2"/>
    </font>
    <font>
      <vertAlign val="subscript"/>
      <sz val="11"/>
      <color theme="1"/>
      <name val="Aptos Narrow"/>
      <family val="2"/>
      <scheme val="minor"/>
    </font>
    <font>
      <b/>
      <i/>
      <vertAlign val="subscript"/>
      <sz val="11"/>
      <color theme="1"/>
      <name val="Aptos Narrow"/>
      <family val="2"/>
      <scheme val="minor"/>
    </font>
    <font>
      <b/>
      <sz val="12"/>
      <color theme="1"/>
      <name val="Aptos Narrow"/>
      <family val="2"/>
      <scheme val="minor"/>
    </font>
    <font>
      <sz val="11"/>
      <name val="Aptos Narrow"/>
      <family val="2"/>
      <scheme val="minor"/>
    </font>
    <font>
      <b/>
      <i/>
      <sz val="9"/>
      <color theme="1"/>
      <name val="Aptos Narrow"/>
      <family val="2"/>
      <scheme val="minor"/>
    </font>
  </fonts>
  <fills count="7">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3" tint="0.89999084444715716"/>
        <bgColor indexed="64"/>
      </patternFill>
    </fill>
    <fill>
      <patternFill patternType="solid">
        <fgColor rgb="FFFFC00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74">
    <xf numFmtId="0" fontId="0" fillId="0" borderId="0" xfId="0"/>
    <xf numFmtId="0" fontId="2" fillId="0" borderId="0" xfId="1"/>
    <xf numFmtId="0" fontId="0" fillId="2" borderId="0" xfId="0" applyFill="1" applyAlignment="1">
      <alignment horizontal="center"/>
    </xf>
    <xf numFmtId="2" fontId="0" fillId="2" borderId="0" xfId="0" applyNumberFormat="1" applyFill="1" applyAlignment="1">
      <alignment horizontal="center"/>
    </xf>
    <xf numFmtId="166" fontId="0" fillId="2" borderId="0" xfId="0" applyNumberFormat="1" applyFill="1" applyAlignment="1">
      <alignment horizontal="center"/>
    </xf>
    <xf numFmtId="0" fontId="0" fillId="0" borderId="0" xfId="0" applyAlignment="1">
      <alignment horizontal="center"/>
    </xf>
    <xf numFmtId="0" fontId="6" fillId="0" borderId="0" xfId="0" applyFont="1"/>
    <xf numFmtId="0" fontId="0" fillId="0" borderId="0" xfId="0" applyAlignment="1">
      <alignment horizontal="left"/>
    </xf>
    <xf numFmtId="0" fontId="0" fillId="0" borderId="0" xfId="0" applyAlignment="1">
      <alignment wrapText="1"/>
    </xf>
    <xf numFmtId="0" fontId="7" fillId="0" borderId="0" xfId="0" applyFont="1" applyAlignment="1">
      <alignment horizontal="center" vertical="center" wrapText="1"/>
    </xf>
    <xf numFmtId="164" fontId="0" fillId="2" borderId="0" xfId="0" applyNumberFormat="1" applyFill="1" applyAlignment="1">
      <alignment horizontal="center"/>
    </xf>
    <xf numFmtId="165" fontId="0" fillId="2" borderId="0" xfId="0" applyNumberFormat="1" applyFill="1" applyAlignment="1">
      <alignment horizontal="center"/>
    </xf>
    <xf numFmtId="167" fontId="0" fillId="2" borderId="0" xfId="0" applyNumberFormat="1" applyFill="1" applyAlignment="1">
      <alignment horizontal="center"/>
    </xf>
    <xf numFmtId="0" fontId="1" fillId="2" borderId="3" xfId="0" applyFont="1" applyFill="1" applyBorder="1" applyAlignment="1">
      <alignment horizontal="center"/>
    </xf>
    <xf numFmtId="0" fontId="0" fillId="0" borderId="4" xfId="0" applyBorder="1" applyAlignment="1">
      <alignment horizontal="center"/>
    </xf>
    <xf numFmtId="165" fontId="0" fillId="2" borderId="4" xfId="0" applyNumberFormat="1" applyFill="1" applyBorder="1" applyAlignment="1">
      <alignment horizontal="center"/>
    </xf>
    <xf numFmtId="167" fontId="0" fillId="0" borderId="4" xfId="0" applyNumberFormat="1" applyBorder="1" applyAlignment="1">
      <alignment horizontal="center"/>
    </xf>
    <xf numFmtId="167" fontId="0" fillId="2" borderId="4" xfId="0" applyNumberFormat="1" applyFill="1" applyBorder="1" applyAlignment="1">
      <alignment horizontal="center"/>
    </xf>
    <xf numFmtId="2" fontId="0" fillId="2" borderId="4" xfId="0" applyNumberFormat="1" applyFill="1" applyBorder="1" applyAlignment="1">
      <alignment horizontal="center"/>
    </xf>
    <xf numFmtId="167" fontId="0" fillId="2" borderId="5" xfId="0" applyNumberFormat="1" applyFill="1" applyBorder="1" applyAlignment="1">
      <alignment horizontal="center"/>
    </xf>
    <xf numFmtId="0" fontId="1" fillId="0" borderId="0" xfId="0" applyFont="1"/>
    <xf numFmtId="0" fontId="0" fillId="0" borderId="0" xfId="0" applyAlignment="1">
      <alignment vertical="center"/>
    </xf>
    <xf numFmtId="0" fontId="8" fillId="0" borderId="0" xfId="0" applyFont="1" applyAlignment="1">
      <alignment horizontal="left" vertical="center"/>
    </xf>
    <xf numFmtId="0" fontId="0" fillId="0" borderId="0" xfId="0" applyAlignment="1">
      <alignment horizontal="left" vertical="center"/>
    </xf>
    <xf numFmtId="0" fontId="3" fillId="0" borderId="0" xfId="0" applyFont="1"/>
    <xf numFmtId="0" fontId="4" fillId="0" borderId="0" xfId="0" applyFont="1"/>
    <xf numFmtId="0" fontId="0" fillId="4" borderId="0" xfId="0" applyFill="1" applyAlignment="1">
      <alignment horizontal="center"/>
    </xf>
    <xf numFmtId="0" fontId="1" fillId="4" borderId="0" xfId="0" applyFont="1" applyFill="1"/>
    <xf numFmtId="0" fontId="0" fillId="4" borderId="0" xfId="0" applyFill="1"/>
    <xf numFmtId="0" fontId="0" fillId="4" borderId="0" xfId="0" applyFill="1" applyAlignment="1">
      <alignment horizontal="left" indent="2"/>
    </xf>
    <xf numFmtId="1" fontId="0" fillId="4" borderId="0" xfId="0" applyNumberFormat="1" applyFill="1" applyAlignment="1">
      <alignment horizontal="center"/>
    </xf>
    <xf numFmtId="0" fontId="0" fillId="0" borderId="0" xfId="0" applyAlignment="1">
      <alignment horizontal="center" vertical="center"/>
    </xf>
    <xf numFmtId="0" fontId="0" fillId="2" borderId="0" xfId="0" applyFill="1" applyAlignment="1">
      <alignment horizontal="center" vertical="center"/>
    </xf>
    <xf numFmtId="1" fontId="0" fillId="2" borderId="0" xfId="0" applyNumberFormat="1" applyFill="1" applyAlignment="1">
      <alignment horizontal="center" vertical="center"/>
    </xf>
    <xf numFmtId="0" fontId="7" fillId="0" borderId="0" xfId="0" applyFont="1" applyAlignment="1">
      <alignment horizontal="center" vertical="center"/>
    </xf>
    <xf numFmtId="167" fontId="0" fillId="2" borderId="0" xfId="0" applyNumberFormat="1" applyFill="1" applyAlignment="1">
      <alignment horizontal="center" vertical="center"/>
    </xf>
    <xf numFmtId="0" fontId="1" fillId="0" borderId="2" xfId="0" applyFont="1" applyBorder="1" applyAlignment="1">
      <alignment horizontal="center"/>
    </xf>
    <xf numFmtId="0" fontId="5" fillId="0" borderId="0" xfId="0" applyFont="1"/>
    <xf numFmtId="0" fontId="12" fillId="0" borderId="0" xfId="0" applyFont="1"/>
    <xf numFmtId="1" fontId="0" fillId="6" borderId="0" xfId="0" applyNumberFormat="1" applyFill="1" applyAlignment="1">
      <alignment horizontal="center"/>
    </xf>
    <xf numFmtId="167" fontId="0" fillId="6" borderId="0" xfId="0" applyNumberFormat="1" applyFill="1" applyAlignment="1">
      <alignment horizontal="center"/>
    </xf>
    <xf numFmtId="0" fontId="0" fillId="3" borderId="0" xfId="0" applyFill="1"/>
    <xf numFmtId="0" fontId="1" fillId="3" borderId="0" xfId="0" applyFont="1" applyFill="1" applyAlignment="1">
      <alignment horizontal="center" vertical="center"/>
    </xf>
    <xf numFmtId="0" fontId="0" fillId="3" borderId="0" xfId="0" applyFill="1" applyAlignment="1">
      <alignment horizontal="center" vertical="center"/>
    </xf>
    <xf numFmtId="0" fontId="0" fillId="3" borderId="0" xfId="0" applyFill="1" applyAlignment="1">
      <alignment horizontal="center" vertical="center" wrapText="1"/>
    </xf>
    <xf numFmtId="0" fontId="1" fillId="3" borderId="0" xfId="0" applyFont="1" applyFill="1"/>
    <xf numFmtId="0" fontId="0" fillId="3" borderId="0" xfId="0" applyFill="1" applyAlignment="1">
      <alignment horizontal="center"/>
    </xf>
    <xf numFmtId="0" fontId="13" fillId="0" borderId="0" xfId="1" applyFont="1" applyFill="1"/>
    <xf numFmtId="0" fontId="0" fillId="6" borderId="1" xfId="0" applyFill="1" applyBorder="1" applyAlignment="1">
      <alignment horizontal="center"/>
    </xf>
    <xf numFmtId="0" fontId="1" fillId="2" borderId="0" xfId="0" applyFont="1" applyFill="1" applyAlignment="1">
      <alignment horizontal="center"/>
    </xf>
    <xf numFmtId="167" fontId="0" fillId="0" borderId="0" xfId="0" applyNumberFormat="1" applyAlignment="1">
      <alignment horizontal="center"/>
    </xf>
    <xf numFmtId="10" fontId="0" fillId="0" borderId="0" xfId="0" applyNumberFormat="1" applyAlignment="1">
      <alignment horizontal="center"/>
    </xf>
    <xf numFmtId="2" fontId="0" fillId="0" borderId="0" xfId="0" applyNumberFormat="1" applyAlignment="1">
      <alignment horizontal="center"/>
    </xf>
    <xf numFmtId="166" fontId="0" fillId="0" borderId="0" xfId="0" applyNumberFormat="1" applyAlignment="1">
      <alignment horizontal="center"/>
    </xf>
    <xf numFmtId="1" fontId="0" fillId="2" borderId="0" xfId="0" applyNumberFormat="1" applyFill="1" applyAlignment="1">
      <alignment horizontal="center"/>
    </xf>
    <xf numFmtId="166" fontId="0" fillId="3" borderId="0" xfId="0" applyNumberFormat="1" applyFill="1" applyAlignment="1">
      <alignment horizontal="center"/>
    </xf>
    <xf numFmtId="0" fontId="7" fillId="3" borderId="0" xfId="0" applyFont="1" applyFill="1" applyAlignment="1">
      <alignment horizontal="center" wrapText="1"/>
    </xf>
    <xf numFmtId="0" fontId="7" fillId="3" borderId="0" xfId="0" applyFont="1" applyFill="1" applyAlignment="1">
      <alignment horizontal="center"/>
    </xf>
    <xf numFmtId="0" fontId="14" fillId="3" borderId="0" xfId="0" applyFont="1" applyFill="1" applyAlignment="1">
      <alignment horizontal="center" wrapText="1"/>
    </xf>
    <xf numFmtId="2" fontId="7" fillId="3" borderId="0" xfId="0" applyNumberFormat="1" applyFont="1" applyFill="1" applyAlignment="1">
      <alignment horizontal="center" wrapText="1"/>
    </xf>
    <xf numFmtId="166" fontId="7" fillId="3" borderId="0" xfId="0" applyNumberFormat="1" applyFont="1" applyFill="1" applyAlignment="1">
      <alignment horizontal="center" wrapText="1"/>
    </xf>
    <xf numFmtId="167" fontId="0" fillId="3" borderId="0" xfId="0" applyNumberFormat="1" applyFill="1" applyAlignment="1">
      <alignment horizontal="center"/>
    </xf>
    <xf numFmtId="2" fontId="0" fillId="3" borderId="0" xfId="0" applyNumberFormat="1" applyFill="1" applyAlignment="1">
      <alignment horizontal="center"/>
    </xf>
    <xf numFmtId="1" fontId="0" fillId="3" borderId="0" xfId="0" applyNumberFormat="1" applyFill="1" applyAlignment="1">
      <alignment horizontal="center"/>
    </xf>
    <xf numFmtId="165" fontId="0" fillId="3" borderId="0" xfId="0" applyNumberFormat="1" applyFill="1" applyAlignment="1">
      <alignment horizontal="center"/>
    </xf>
    <xf numFmtId="164" fontId="0" fillId="3" borderId="0" xfId="0" applyNumberFormat="1" applyFill="1" applyAlignment="1">
      <alignment horizontal="center"/>
    </xf>
    <xf numFmtId="166" fontId="1" fillId="5" borderId="0" xfId="0" applyNumberFormat="1" applyFont="1" applyFill="1" applyAlignment="1">
      <alignment horizontal="center" vertical="center"/>
    </xf>
    <xf numFmtId="0" fontId="7" fillId="3" borderId="0" xfId="0" applyFont="1" applyFill="1"/>
    <xf numFmtId="0" fontId="7" fillId="3" borderId="0" xfId="0" applyFont="1" applyFill="1" applyAlignment="1">
      <alignment horizontal="center" vertical="center"/>
    </xf>
    <xf numFmtId="1" fontId="0" fillId="3" borderId="0" xfId="0" applyNumberFormat="1" applyFill="1" applyAlignment="1">
      <alignment horizontal="center" vertical="center"/>
    </xf>
    <xf numFmtId="0" fontId="0" fillId="2" borderId="0" xfId="0" applyFill="1" applyAlignment="1">
      <alignment horizontal="center" wrapText="1"/>
    </xf>
    <xf numFmtId="0" fontId="0" fillId="0" borderId="0" xfId="0" applyAlignment="1">
      <alignment horizontal="center" wrapText="1"/>
    </xf>
    <xf numFmtId="0" fontId="0" fillId="3" borderId="0" xfId="0" applyFill="1" applyAlignment="1">
      <alignment horizontal="center"/>
    </xf>
    <xf numFmtId="166" fontId="0" fillId="3" borderId="0" xfId="0" applyNumberFormat="1" applyFill="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V/F at 40F and various pressures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Flash!$D$253</c:f>
              <c:strCache>
                <c:ptCount val="1"/>
                <c:pt idx="0">
                  <c:v>PengRobinson</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Flash!$C$254:$C$258</c:f>
              <c:numCache>
                <c:formatCode>General</c:formatCode>
                <c:ptCount val="5"/>
                <c:pt idx="0">
                  <c:v>1000</c:v>
                </c:pt>
                <c:pt idx="1">
                  <c:v>800</c:v>
                </c:pt>
                <c:pt idx="2">
                  <c:v>600</c:v>
                </c:pt>
                <c:pt idx="3">
                  <c:v>400</c:v>
                </c:pt>
                <c:pt idx="4" formatCode="0">
                  <c:v>200</c:v>
                </c:pt>
              </c:numCache>
            </c:numRef>
          </c:xVal>
          <c:yVal>
            <c:numRef>
              <c:f>Flash!$D$254:$D$258</c:f>
              <c:numCache>
                <c:formatCode>General</c:formatCode>
                <c:ptCount val="5"/>
                <c:pt idx="0">
                  <c:v>0.96599999999999997</c:v>
                </c:pt>
                <c:pt idx="1">
                  <c:v>0.97</c:v>
                </c:pt>
                <c:pt idx="2">
                  <c:v>0.97899999999999998</c:v>
                </c:pt>
                <c:pt idx="3">
                  <c:v>0.98899999999999999</c:v>
                </c:pt>
                <c:pt idx="4" formatCode="0.00000">
                  <c:v>0.998</c:v>
                </c:pt>
              </c:numCache>
            </c:numRef>
          </c:yVal>
          <c:smooth val="1"/>
          <c:extLst>
            <c:ext xmlns:c16="http://schemas.microsoft.com/office/drawing/2014/chart" uri="{C3380CC4-5D6E-409C-BE32-E72D297353CC}">
              <c16:uniqueId val="{00000000-6D46-40BD-A86E-F568FF0AD9ED}"/>
            </c:ext>
          </c:extLst>
        </c:ser>
        <c:ser>
          <c:idx val="1"/>
          <c:order val="1"/>
          <c:tx>
            <c:strRef>
              <c:f>Flash!$E$253</c:f>
              <c:strCache>
                <c:ptCount val="1"/>
                <c:pt idx="0">
                  <c:v>Standing</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Flash!$C$254:$C$258</c:f>
              <c:numCache>
                <c:formatCode>General</c:formatCode>
                <c:ptCount val="5"/>
                <c:pt idx="0">
                  <c:v>1000</c:v>
                </c:pt>
                <c:pt idx="1">
                  <c:v>800</c:v>
                </c:pt>
                <c:pt idx="2">
                  <c:v>600</c:v>
                </c:pt>
                <c:pt idx="3">
                  <c:v>400</c:v>
                </c:pt>
                <c:pt idx="4" formatCode="0">
                  <c:v>200</c:v>
                </c:pt>
              </c:numCache>
            </c:numRef>
          </c:xVal>
          <c:yVal>
            <c:numRef>
              <c:f>Flash!$E$254:$E$258</c:f>
              <c:numCache>
                <c:formatCode>General</c:formatCode>
                <c:ptCount val="5"/>
                <c:pt idx="0">
                  <c:v>0.96789999999999998</c:v>
                </c:pt>
                <c:pt idx="1">
                  <c:v>0.96950000000000003</c:v>
                </c:pt>
                <c:pt idx="2">
                  <c:v>0.97719999999999996</c:v>
                </c:pt>
                <c:pt idx="3">
                  <c:v>0.98929999999999996</c:v>
                </c:pt>
                <c:pt idx="4" formatCode="0.00000">
                  <c:v>1</c:v>
                </c:pt>
              </c:numCache>
            </c:numRef>
          </c:yVal>
          <c:smooth val="1"/>
          <c:extLst>
            <c:ext xmlns:c16="http://schemas.microsoft.com/office/drawing/2014/chart" uri="{C3380CC4-5D6E-409C-BE32-E72D297353CC}">
              <c16:uniqueId val="{00000001-6D46-40BD-A86E-F568FF0AD9ED}"/>
            </c:ext>
          </c:extLst>
        </c:ser>
        <c:ser>
          <c:idx val="2"/>
          <c:order val="2"/>
          <c:tx>
            <c:strRef>
              <c:f>Flash!$F$253</c:f>
              <c:strCache>
                <c:ptCount val="1"/>
                <c:pt idx="0">
                  <c:v>Wilson</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Flash!$C$254:$C$258</c:f>
              <c:numCache>
                <c:formatCode>General</c:formatCode>
                <c:ptCount val="5"/>
                <c:pt idx="0">
                  <c:v>1000</c:v>
                </c:pt>
                <c:pt idx="1">
                  <c:v>800</c:v>
                </c:pt>
                <c:pt idx="2">
                  <c:v>600</c:v>
                </c:pt>
                <c:pt idx="3">
                  <c:v>400</c:v>
                </c:pt>
                <c:pt idx="4" formatCode="0">
                  <c:v>200</c:v>
                </c:pt>
              </c:numCache>
            </c:numRef>
          </c:xVal>
          <c:yVal>
            <c:numRef>
              <c:f>Flash!$F$254:$F$258</c:f>
              <c:numCache>
                <c:formatCode>General</c:formatCode>
                <c:ptCount val="5"/>
                <c:pt idx="0">
                  <c:v>0.86890000000000001</c:v>
                </c:pt>
                <c:pt idx="1">
                  <c:v>0.90649999999999997</c:v>
                </c:pt>
                <c:pt idx="2">
                  <c:v>0.94079999999999997</c:v>
                </c:pt>
                <c:pt idx="3">
                  <c:v>0.97140000000000004</c:v>
                </c:pt>
                <c:pt idx="4">
                  <c:v>0.99509999999999998</c:v>
                </c:pt>
              </c:numCache>
            </c:numRef>
          </c:yVal>
          <c:smooth val="1"/>
          <c:extLst>
            <c:ext xmlns:c16="http://schemas.microsoft.com/office/drawing/2014/chart" uri="{C3380CC4-5D6E-409C-BE32-E72D297353CC}">
              <c16:uniqueId val="{00000002-6D46-40BD-A86E-F568FF0AD9ED}"/>
            </c:ext>
          </c:extLst>
        </c:ser>
        <c:dLbls>
          <c:showLegendKey val="0"/>
          <c:showVal val="0"/>
          <c:showCatName val="0"/>
          <c:showSerName val="0"/>
          <c:showPercent val="0"/>
          <c:showBubbleSize val="0"/>
        </c:dLbls>
        <c:axId val="717471728"/>
        <c:axId val="717472088"/>
      </c:scatterChart>
      <c:valAx>
        <c:axId val="717471728"/>
        <c:scaling>
          <c:orientation val="minMax"/>
          <c:max val="1000"/>
          <c:min val="2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7472088"/>
        <c:crosses val="autoZero"/>
        <c:crossBetween val="midCat"/>
      </c:valAx>
      <c:valAx>
        <c:axId val="71747208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747172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V/F at 80F at various</a:t>
            </a:r>
            <a:r>
              <a:rPr lang="en-US" baseline="0"/>
              <a:t> pressures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Flash!$D$270</c:f>
              <c:strCache>
                <c:ptCount val="1"/>
                <c:pt idx="0">
                  <c:v>PengRobinson</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Flash!$C$271:$C$275</c:f>
              <c:numCache>
                <c:formatCode>General</c:formatCode>
                <c:ptCount val="5"/>
                <c:pt idx="0">
                  <c:v>1000</c:v>
                </c:pt>
                <c:pt idx="1">
                  <c:v>800</c:v>
                </c:pt>
                <c:pt idx="2">
                  <c:v>600</c:v>
                </c:pt>
                <c:pt idx="3">
                  <c:v>400</c:v>
                </c:pt>
                <c:pt idx="4" formatCode="0">
                  <c:v>200</c:v>
                </c:pt>
              </c:numCache>
            </c:numRef>
          </c:xVal>
          <c:yVal>
            <c:numRef>
              <c:f>Flash!$D$271:$D$275</c:f>
              <c:numCache>
                <c:formatCode>General</c:formatCode>
                <c:ptCount val="5"/>
                <c:pt idx="0">
                  <c:v>1</c:v>
                </c:pt>
                <c:pt idx="1">
                  <c:v>1</c:v>
                </c:pt>
                <c:pt idx="2">
                  <c:v>1</c:v>
                </c:pt>
                <c:pt idx="3">
                  <c:v>1</c:v>
                </c:pt>
                <c:pt idx="4" formatCode="0.00000">
                  <c:v>1</c:v>
                </c:pt>
              </c:numCache>
            </c:numRef>
          </c:yVal>
          <c:smooth val="1"/>
          <c:extLst>
            <c:ext xmlns:c16="http://schemas.microsoft.com/office/drawing/2014/chart" uri="{C3380CC4-5D6E-409C-BE32-E72D297353CC}">
              <c16:uniqueId val="{00000000-9C25-49DE-AEDB-7D93FD799826}"/>
            </c:ext>
          </c:extLst>
        </c:ser>
        <c:ser>
          <c:idx val="1"/>
          <c:order val="1"/>
          <c:tx>
            <c:strRef>
              <c:f>Flash!$E$270</c:f>
              <c:strCache>
                <c:ptCount val="1"/>
                <c:pt idx="0">
                  <c:v>Standing</c:v>
                </c:pt>
              </c:strCache>
            </c:strRef>
          </c:tx>
          <c:spPr>
            <a:ln w="19050" cap="sq">
              <a:solidFill>
                <a:schemeClr val="accent2">
                  <a:lumMod val="40000"/>
                  <a:lumOff val="60000"/>
                </a:schemeClr>
              </a:solidFill>
              <a:prstDash val="sysDash"/>
              <a:round/>
            </a:ln>
            <a:effectLst/>
          </c:spPr>
          <c:marker>
            <c:symbol val="circle"/>
            <c:size val="5"/>
            <c:spPr>
              <a:solidFill>
                <a:schemeClr val="accent2"/>
              </a:solidFill>
              <a:ln w="9525">
                <a:solidFill>
                  <a:schemeClr val="accent4">
                    <a:lumMod val="40000"/>
                    <a:lumOff val="60000"/>
                  </a:schemeClr>
                </a:solidFill>
              </a:ln>
              <a:effectLst/>
            </c:spPr>
          </c:marker>
          <c:xVal>
            <c:numRef>
              <c:f>Flash!$C$271:$C$275</c:f>
              <c:numCache>
                <c:formatCode>General</c:formatCode>
                <c:ptCount val="5"/>
                <c:pt idx="0">
                  <c:v>1000</c:v>
                </c:pt>
                <c:pt idx="1">
                  <c:v>800</c:v>
                </c:pt>
                <c:pt idx="2">
                  <c:v>600</c:v>
                </c:pt>
                <c:pt idx="3">
                  <c:v>400</c:v>
                </c:pt>
                <c:pt idx="4" formatCode="0">
                  <c:v>200</c:v>
                </c:pt>
              </c:numCache>
            </c:numRef>
          </c:xVal>
          <c:yVal>
            <c:numRef>
              <c:f>Flash!$E$271:$E$275</c:f>
              <c:numCache>
                <c:formatCode>General</c:formatCode>
                <c:ptCount val="5"/>
                <c:pt idx="0">
                  <c:v>0.99929999999999997</c:v>
                </c:pt>
                <c:pt idx="1">
                  <c:v>0.99890000000000001</c:v>
                </c:pt>
                <c:pt idx="2">
                  <c:v>1</c:v>
                </c:pt>
                <c:pt idx="3">
                  <c:v>1</c:v>
                </c:pt>
                <c:pt idx="4" formatCode="0.00000">
                  <c:v>1</c:v>
                </c:pt>
              </c:numCache>
            </c:numRef>
          </c:yVal>
          <c:smooth val="1"/>
          <c:extLst>
            <c:ext xmlns:c16="http://schemas.microsoft.com/office/drawing/2014/chart" uri="{C3380CC4-5D6E-409C-BE32-E72D297353CC}">
              <c16:uniqueId val="{00000001-9C25-49DE-AEDB-7D93FD799826}"/>
            </c:ext>
          </c:extLst>
        </c:ser>
        <c:ser>
          <c:idx val="2"/>
          <c:order val="2"/>
          <c:tx>
            <c:strRef>
              <c:f>Flash!$F$270</c:f>
              <c:strCache>
                <c:ptCount val="1"/>
                <c:pt idx="0">
                  <c:v>Wilson</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Flash!$C$271:$C$275</c:f>
              <c:numCache>
                <c:formatCode>General</c:formatCode>
                <c:ptCount val="5"/>
                <c:pt idx="0">
                  <c:v>1000</c:v>
                </c:pt>
                <c:pt idx="1">
                  <c:v>800</c:v>
                </c:pt>
                <c:pt idx="2">
                  <c:v>600</c:v>
                </c:pt>
                <c:pt idx="3">
                  <c:v>400</c:v>
                </c:pt>
                <c:pt idx="4" formatCode="0">
                  <c:v>200</c:v>
                </c:pt>
              </c:numCache>
            </c:numRef>
          </c:xVal>
          <c:yVal>
            <c:numRef>
              <c:f>Flash!$F$271:$F$275</c:f>
              <c:numCache>
                <c:formatCode>General</c:formatCode>
                <c:ptCount val="5"/>
                <c:pt idx="0">
                  <c:v>0.94140000000000001</c:v>
                </c:pt>
                <c:pt idx="1">
                  <c:v>0.96340000000000003</c:v>
                </c:pt>
                <c:pt idx="2">
                  <c:v>0.98199999999999998</c:v>
                </c:pt>
                <c:pt idx="3">
                  <c:v>0.99570000000000003</c:v>
                </c:pt>
                <c:pt idx="4">
                  <c:v>0.99970000000000003</c:v>
                </c:pt>
              </c:numCache>
            </c:numRef>
          </c:yVal>
          <c:smooth val="1"/>
          <c:extLst>
            <c:ext xmlns:c16="http://schemas.microsoft.com/office/drawing/2014/chart" uri="{C3380CC4-5D6E-409C-BE32-E72D297353CC}">
              <c16:uniqueId val="{00000002-9C25-49DE-AEDB-7D93FD799826}"/>
            </c:ext>
          </c:extLst>
        </c:ser>
        <c:dLbls>
          <c:showLegendKey val="0"/>
          <c:showVal val="0"/>
          <c:showCatName val="0"/>
          <c:showSerName val="0"/>
          <c:showPercent val="0"/>
          <c:showBubbleSize val="0"/>
        </c:dLbls>
        <c:axId val="929981376"/>
        <c:axId val="929980656"/>
      </c:scatterChart>
      <c:valAx>
        <c:axId val="929981376"/>
        <c:scaling>
          <c:orientation val="minMax"/>
          <c:max val="1000"/>
          <c:min val="2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9980656"/>
        <c:crosses val="autoZero"/>
        <c:crossBetween val="midCat"/>
      </c:valAx>
      <c:valAx>
        <c:axId val="929980656"/>
        <c:scaling>
          <c:orientation val="minMax"/>
          <c:max val="1"/>
          <c:min val="0.860000000000000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9981376"/>
        <c:crosses val="autoZero"/>
        <c:crossBetween val="midCat"/>
      </c:valAx>
      <c:spPr>
        <a:noFill/>
        <a:ln>
          <a:noFill/>
        </a:ln>
        <a:effectLst/>
      </c:spPr>
    </c:plotArea>
    <c:legend>
      <c:legendPos val="b"/>
      <c:overlay val="0"/>
      <c:spPr>
        <a:noFill/>
        <a:ln>
          <a:solidFill>
            <a:schemeClr val="accent2">
              <a:lumMod val="60000"/>
              <a:lumOff val="40000"/>
            </a:schemeClr>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127000</xdr:colOff>
      <xdr:row>29</xdr:row>
      <xdr:rowOff>12700</xdr:rowOff>
    </xdr:from>
    <xdr:to>
      <xdr:col>4</xdr:col>
      <xdr:colOff>801396</xdr:colOff>
      <xdr:row>32</xdr:row>
      <xdr:rowOff>15876</xdr:rowOff>
    </xdr:to>
    <xdr:pic>
      <xdr:nvPicPr>
        <xdr:cNvPr id="2" name="Picture 1">
          <a:extLst>
            <a:ext uri="{FF2B5EF4-FFF2-40B4-BE49-F238E27FC236}">
              <a16:creationId xmlns:a16="http://schemas.microsoft.com/office/drawing/2014/main" id="{B4E33A5B-6A38-4502-88EB-8C056E2982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65350" y="6080125"/>
          <a:ext cx="1546225" cy="574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678414</xdr:colOff>
      <xdr:row>249</xdr:row>
      <xdr:rowOff>27992</xdr:rowOff>
    </xdr:from>
    <xdr:to>
      <xdr:col>13</xdr:col>
      <xdr:colOff>79700</xdr:colOff>
      <xdr:row>266</xdr:row>
      <xdr:rowOff>49763</xdr:rowOff>
    </xdr:to>
    <xdr:graphicFrame macro="">
      <xdr:nvGraphicFramePr>
        <xdr:cNvPr id="7" name="Chart 6">
          <a:extLst>
            <a:ext uri="{FF2B5EF4-FFF2-40B4-BE49-F238E27FC236}">
              <a16:creationId xmlns:a16="http://schemas.microsoft.com/office/drawing/2014/main" id="{C6EB907E-57D9-EDDF-0D7E-3CCF1177748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790185</xdr:colOff>
      <xdr:row>266</xdr:row>
      <xdr:rowOff>66869</xdr:rowOff>
    </xdr:from>
    <xdr:to>
      <xdr:col>13</xdr:col>
      <xdr:colOff>191471</xdr:colOff>
      <xdr:row>280</xdr:row>
      <xdr:rowOff>88641</xdr:rowOff>
    </xdr:to>
    <xdr:graphicFrame macro="">
      <xdr:nvGraphicFramePr>
        <xdr:cNvPr id="9" name="Chart 8">
          <a:extLst>
            <a:ext uri="{FF2B5EF4-FFF2-40B4-BE49-F238E27FC236}">
              <a16:creationId xmlns:a16="http://schemas.microsoft.com/office/drawing/2014/main" id="{789CA60F-1CD5-D974-3E26-3FDF8AEDA5A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7b1c9cae9ad6cbab/Field%20Compression%20Model%20041125%2050%20to%20750%20psig%20Delaware%20081525.xlsm" TargetMode="External"/><Relationship Id="rId1" Type="http://schemas.openxmlformats.org/officeDocument/2006/relationships/externalLinkPath" Target="https://d.docs.live.net/7b1c9cae9ad6cbab/Field%20Compression%20Model%20041125%2050%20to%20750%20psig%20Delaware%200815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D 1"/>
      <sheetName val="HDP 2"/>
      <sheetName val="Instructions"/>
      <sheetName val="Drawing"/>
      <sheetName val="Compositions"/>
      <sheetName val="Chart A - Weather"/>
      <sheetName val="Flash A"/>
      <sheetName val="Flash B"/>
      <sheetName val="PresDrop1to2"/>
      <sheetName val="PresDrop6to7"/>
      <sheetName val="Hp Est Tool"/>
      <sheetName val="HDP 1 and 2"/>
      <sheetName val="HDP 7"/>
      <sheetName val="HDP 8"/>
      <sheetName val="Prop Est Flash 1"/>
      <sheetName val="Prop Est 2"/>
      <sheetName val="Prop Est Flash 2"/>
      <sheetName val="water content 1"/>
      <sheetName val="water content 2"/>
      <sheetName val="water content 6"/>
      <sheetName val="water content 7"/>
      <sheetName val="Dropout Chart"/>
    </sheetNames>
    <sheetDataSet>
      <sheetData sheetId="0"/>
      <sheetData sheetId="1"/>
      <sheetData sheetId="2"/>
      <sheetData sheetId="3"/>
      <sheetData sheetId="4"/>
      <sheetData sheetId="5"/>
      <sheetData sheetId="6">
        <row r="25">
          <cell r="F25">
            <v>0.99991982721071726</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ciencedirect.com/topics/engineering/standing-correlation" TargetMode="External"/><Relationship Id="rId1" Type="http://schemas.openxmlformats.org/officeDocument/2006/relationships/hyperlink" Target="http://excelcalculations.blogspot.com/2011/07/equilibrium-flash-excel.html"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1B27C-60CD-4A95-8C2D-5F16CD6D5D55}">
  <sheetPr codeName="Sheet14">
    <tabColor theme="6" tint="0.39997558519241921"/>
  </sheetPr>
  <dimension ref="A1:BP275"/>
  <sheetViews>
    <sheetView showGridLines="0" tabSelected="1" topLeftCell="C6" zoomScale="98" zoomScaleNormal="98" workbookViewId="0">
      <selection activeCell="N27" sqref="N27"/>
    </sheetView>
  </sheetViews>
  <sheetFormatPr defaultRowHeight="15" x14ac:dyDescent="0.25"/>
  <cols>
    <col min="1" max="1" width="7.7109375" customWidth="1"/>
    <col min="2" max="2" width="11.85546875" customWidth="1"/>
    <col min="3" max="3" width="9.5703125" style="5" customWidth="1"/>
    <col min="4" max="4" width="13" style="5" customWidth="1"/>
    <col min="5" max="5" width="12.28515625" style="5" customWidth="1"/>
    <col min="6" max="6" width="11.7109375" style="5" customWidth="1"/>
    <col min="7" max="7" width="12.28515625" style="5" customWidth="1"/>
    <col min="8" max="8" width="9.42578125" style="5" bestFit="1" customWidth="1"/>
    <col min="9" max="9" width="11.85546875" style="5" customWidth="1"/>
    <col min="10" max="10" width="8.7109375" style="5" customWidth="1"/>
    <col min="11" max="11" width="11.42578125" customWidth="1"/>
    <col min="12" max="12" width="12" bestFit="1" customWidth="1"/>
    <col min="13" max="13" width="11.42578125" customWidth="1"/>
    <col min="19" max="19" width="10" customWidth="1"/>
    <col min="27" max="27" width="10.42578125" customWidth="1"/>
    <col min="31" max="31" width="9.85546875" customWidth="1"/>
    <col min="32" max="32" width="12" bestFit="1" customWidth="1"/>
  </cols>
  <sheetData>
    <row r="1" spans="1:31" ht="26.25" x14ac:dyDescent="0.4">
      <c r="B1" s="6" t="s">
        <v>17</v>
      </c>
    </row>
    <row r="2" spans="1:31" x14ac:dyDescent="0.25">
      <c r="B2" s="1" t="s">
        <v>18</v>
      </c>
    </row>
    <row r="3" spans="1:31" x14ac:dyDescent="0.25">
      <c r="B3" s="47" t="s">
        <v>186</v>
      </c>
    </row>
    <row r="4" spans="1:31" x14ac:dyDescent="0.25">
      <c r="A4" s="1"/>
    </row>
    <row r="5" spans="1:31" x14ac:dyDescent="0.25">
      <c r="A5" s="1"/>
      <c r="B5" s="39">
        <v>100</v>
      </c>
      <c r="C5" s="7" t="s">
        <v>19</v>
      </c>
      <c r="H5" s="48" t="s">
        <v>0</v>
      </c>
    </row>
    <row r="6" spans="1:31" x14ac:dyDescent="0.25">
      <c r="A6" s="1"/>
      <c r="B6" s="39">
        <v>-100</v>
      </c>
      <c r="C6" s="7" t="s">
        <v>20</v>
      </c>
      <c r="K6" s="5"/>
    </row>
    <row r="7" spans="1:31" x14ac:dyDescent="0.25">
      <c r="A7" s="1"/>
      <c r="B7" s="39">
        <v>1000</v>
      </c>
      <c r="C7" s="7" t="s">
        <v>21</v>
      </c>
    </row>
    <row r="8" spans="1:31" x14ac:dyDescent="0.25">
      <c r="A8" s="1"/>
      <c r="B8" s="39">
        <v>2</v>
      </c>
      <c r="C8" s="7" t="s">
        <v>22</v>
      </c>
    </row>
    <row r="9" spans="1:31" x14ac:dyDescent="0.25">
      <c r="A9" s="1"/>
      <c r="B9" s="2"/>
      <c r="C9" s="7" t="s">
        <v>187</v>
      </c>
    </row>
    <row r="10" spans="1:31" x14ac:dyDescent="0.25">
      <c r="A10" s="1"/>
      <c r="B10" s="2"/>
      <c r="C10" s="7"/>
    </row>
    <row r="11" spans="1:31" ht="27.75" customHeight="1" x14ac:dyDescent="0.25">
      <c r="A11" s="1"/>
      <c r="B11" s="70" t="s">
        <v>182</v>
      </c>
      <c r="C11" s="71"/>
      <c r="D11" s="66">
        <f>MIN(C84:BO84)</f>
        <v>0.74</v>
      </c>
    </row>
    <row r="12" spans="1:31" x14ac:dyDescent="0.25">
      <c r="A12" s="1"/>
      <c r="B12" s="2"/>
      <c r="C12" s="7"/>
      <c r="K12" t="s">
        <v>181</v>
      </c>
      <c r="L12" s="46"/>
      <c r="M12" s="45" t="s">
        <v>206</v>
      </c>
      <c r="N12" s="46"/>
      <c r="O12" s="46"/>
      <c r="P12" s="46"/>
      <c r="Q12" s="46"/>
      <c r="R12" s="46"/>
      <c r="S12" s="46"/>
      <c r="T12" s="46"/>
      <c r="U12" s="46"/>
      <c r="V12" s="46"/>
      <c r="W12" s="72"/>
      <c r="X12" s="72"/>
      <c r="Y12" s="72"/>
      <c r="Z12" s="73"/>
      <c r="AA12" s="73"/>
      <c r="AB12" s="46"/>
      <c r="AC12" s="46"/>
      <c r="AD12" s="46"/>
      <c r="AE12" s="46"/>
    </row>
    <row r="13" spans="1:31" ht="45" customHeight="1" x14ac:dyDescent="0.25">
      <c r="A13" s="8"/>
      <c r="B13" s="8"/>
      <c r="C13" s="9" t="s">
        <v>23</v>
      </c>
      <c r="D13" s="9" t="s">
        <v>24</v>
      </c>
      <c r="E13" s="9" t="s">
        <v>25</v>
      </c>
      <c r="F13" s="9" t="s">
        <v>26</v>
      </c>
      <c r="G13" s="9" t="s">
        <v>27</v>
      </c>
      <c r="H13" s="9" t="s">
        <v>28</v>
      </c>
      <c r="I13" s="9" t="s">
        <v>29</v>
      </c>
      <c r="J13" s="9" t="s">
        <v>30</v>
      </c>
      <c r="L13" s="46"/>
      <c r="M13" s="56" t="s">
        <v>189</v>
      </c>
      <c r="N13" s="56" t="s">
        <v>190</v>
      </c>
      <c r="O13" s="57" t="s">
        <v>3</v>
      </c>
      <c r="P13" s="57" t="s">
        <v>4</v>
      </c>
      <c r="Q13" s="58" t="s">
        <v>191</v>
      </c>
      <c r="R13" s="58" t="s">
        <v>192</v>
      </c>
      <c r="S13" s="56" t="s">
        <v>193</v>
      </c>
      <c r="T13" s="56" t="s">
        <v>194</v>
      </c>
      <c r="U13" s="56" t="s">
        <v>195</v>
      </c>
      <c r="V13" s="56" t="s">
        <v>5</v>
      </c>
      <c r="W13" s="56" t="s">
        <v>199</v>
      </c>
      <c r="X13" s="56" t="s">
        <v>196</v>
      </c>
      <c r="Y13" s="59" t="s">
        <v>197</v>
      </c>
      <c r="Z13" s="60" t="s">
        <v>198</v>
      </c>
      <c r="AA13" s="60" t="s">
        <v>200</v>
      </c>
      <c r="AB13" s="56" t="s">
        <v>201</v>
      </c>
      <c r="AC13" s="56" t="s">
        <v>202</v>
      </c>
      <c r="AD13" s="56" t="s">
        <v>203</v>
      </c>
      <c r="AE13" s="56" t="s">
        <v>204</v>
      </c>
    </row>
    <row r="14" spans="1:31" x14ac:dyDescent="0.25">
      <c r="A14">
        <v>1</v>
      </c>
      <c r="B14" s="2" t="s">
        <v>6</v>
      </c>
      <c r="C14" s="10">
        <f t="shared" ref="C14:C25" si="0">IF($B$8=1,L66,K66)</f>
        <v>7.2337612237647049</v>
      </c>
      <c r="D14" s="11">
        <f t="shared" ref="D14:D25" si="1">E14*$B$5</f>
        <v>1.1990000000000001</v>
      </c>
      <c r="E14" s="40">
        <v>1.1990000000000001E-2</v>
      </c>
      <c r="F14" s="5">
        <f t="shared" ref="F14:F25" si="2">E14*(C14-1)/(1+mL*(C14-1))</f>
        <v>1.3316055474199773E-2</v>
      </c>
      <c r="G14" s="12">
        <f t="shared" ref="G14:G25" si="3">I14*(1-mL)*$D$26</f>
        <v>5.5538537285469626E-2</v>
      </c>
      <c r="H14" s="3">
        <f>D14-G14</f>
        <v>1.1434614627145305</v>
      </c>
      <c r="I14" s="12">
        <f t="shared" ref="I14:I25" si="4">E14/(1-mL+mL*C14)</f>
        <v>2.1361189490921688E-3</v>
      </c>
      <c r="J14" s="12">
        <f>I14*C14</f>
        <v>1.5452174423291942E-2</v>
      </c>
      <c r="L14" s="46" t="s">
        <v>6</v>
      </c>
      <c r="M14" s="61">
        <f>E14</f>
        <v>1.1990000000000001E-2</v>
      </c>
      <c r="N14" s="46"/>
      <c r="O14" s="46" t="s">
        <v>6</v>
      </c>
      <c r="P14" s="62">
        <v>28.013000000000002</v>
      </c>
      <c r="Q14" s="63">
        <v>-297.33199999999999</v>
      </c>
      <c r="R14" s="46"/>
      <c r="S14" s="63">
        <v>-346</v>
      </c>
      <c r="T14" s="63">
        <v>493</v>
      </c>
      <c r="U14" s="64">
        <v>-232.7</v>
      </c>
      <c r="V14" s="55">
        <v>0.99997000000000003</v>
      </c>
      <c r="W14" s="55">
        <v>0.80940000000000001</v>
      </c>
      <c r="X14" s="62">
        <f>W14*8.337</f>
        <v>6.7479677999999996</v>
      </c>
      <c r="Y14" s="62">
        <f t="shared" ref="Y14:Y16" si="5">P14/X14</f>
        <v>4.1513238993226977</v>
      </c>
      <c r="Z14" s="55">
        <f>$P14/28.97</f>
        <v>0.96696582671729381</v>
      </c>
      <c r="AA14" s="64">
        <f>13.102/Z14</f>
        <v>13.549599828650983</v>
      </c>
      <c r="AB14" s="65">
        <v>0.24840000000000001</v>
      </c>
      <c r="AC14" s="46"/>
      <c r="AD14" s="46"/>
      <c r="AE14" s="46"/>
    </row>
    <row r="15" spans="1:31" x14ac:dyDescent="0.25">
      <c r="A15">
        <v>2</v>
      </c>
      <c r="B15" s="2" t="s">
        <v>7</v>
      </c>
      <c r="C15" s="10">
        <f t="shared" si="0"/>
        <v>0.72703252025972698</v>
      </c>
      <c r="D15" s="11">
        <f t="shared" si="1"/>
        <v>5.5579999999999998</v>
      </c>
      <c r="E15" s="40">
        <v>5.5579999999999997E-2</v>
      </c>
      <c r="F15" s="5">
        <f t="shared" si="2"/>
        <v>-1.9011848672866979E-2</v>
      </c>
      <c r="G15" s="12">
        <f t="shared" si="3"/>
        <v>1.8108498597862761</v>
      </c>
      <c r="H15" s="3">
        <f>D15-G15</f>
        <v>3.7471501402137237</v>
      </c>
      <c r="I15" s="12">
        <f t="shared" si="4"/>
        <v>6.9648768017921553E-2</v>
      </c>
      <c r="J15" s="12">
        <f>I15*C15</f>
        <v>5.0636919345054578E-2</v>
      </c>
      <c r="L15" s="46" t="s">
        <v>7</v>
      </c>
      <c r="M15" s="61">
        <f t="shared" ref="M15:M25" si="6">E15</f>
        <v>5.5579999999999997E-2</v>
      </c>
      <c r="N15" s="46"/>
      <c r="O15" s="46" t="s">
        <v>7</v>
      </c>
      <c r="P15" s="62">
        <v>44.01</v>
      </c>
      <c r="Q15" s="63">
        <v>-109.32</v>
      </c>
      <c r="R15" s="46"/>
      <c r="S15" s="63">
        <v>-69.77</v>
      </c>
      <c r="T15" s="63">
        <v>1071</v>
      </c>
      <c r="U15" s="64">
        <v>87.87</v>
      </c>
      <c r="V15" s="55">
        <v>0.99429999999999996</v>
      </c>
      <c r="W15" s="55">
        <v>0.81759999999999999</v>
      </c>
      <c r="X15" s="62">
        <f t="shared" ref="X15:X26" si="7">W15*8.337</f>
        <v>6.8163311999999996</v>
      </c>
      <c r="Y15" s="62">
        <f t="shared" si="5"/>
        <v>6.4565524632957976</v>
      </c>
      <c r="Z15" s="55">
        <f t="shared" ref="Z15:Z26" si="8">$P15/28.97</f>
        <v>1.5191577493959267</v>
      </c>
      <c r="AA15" s="64">
        <f t="shared" ref="AA15:AA25" si="9">13.102/Z15</f>
        <v>8.6245157918654858</v>
      </c>
      <c r="AB15" s="65">
        <v>0.19900000000000001</v>
      </c>
      <c r="AC15" s="46"/>
      <c r="AD15" s="46"/>
      <c r="AE15" s="46"/>
    </row>
    <row r="16" spans="1:31" x14ac:dyDescent="0.25">
      <c r="A16">
        <v>3</v>
      </c>
      <c r="B16" s="5" t="s">
        <v>8</v>
      </c>
      <c r="C16" s="10">
        <f t="shared" si="0"/>
        <v>9.758453574782093E-2</v>
      </c>
      <c r="D16" s="11">
        <f t="shared" si="1"/>
        <v>0</v>
      </c>
      <c r="E16" s="40">
        <v>0</v>
      </c>
      <c r="F16" s="5">
        <f t="shared" si="2"/>
        <v>0</v>
      </c>
      <c r="G16" s="12">
        <f t="shared" si="3"/>
        <v>0</v>
      </c>
      <c r="H16" s="3">
        <f>D16-G16</f>
        <v>0</v>
      </c>
      <c r="I16" s="12">
        <f t="shared" si="4"/>
        <v>0</v>
      </c>
      <c r="J16" s="12">
        <f>I16*C16</f>
        <v>0</v>
      </c>
      <c r="L16" s="46" t="s">
        <v>8</v>
      </c>
      <c r="M16" s="61">
        <f t="shared" si="6"/>
        <v>0</v>
      </c>
      <c r="N16" s="46"/>
      <c r="O16" s="46" t="s">
        <v>8</v>
      </c>
      <c r="P16" s="62">
        <v>34.076000000000001</v>
      </c>
      <c r="Q16" s="63">
        <v>-76.56</v>
      </c>
      <c r="R16" s="63">
        <v>387.1</v>
      </c>
      <c r="S16" s="63">
        <v>-121.58</v>
      </c>
      <c r="T16" s="63">
        <v>1036</v>
      </c>
      <c r="U16" s="64">
        <v>212.6</v>
      </c>
      <c r="V16" s="55">
        <v>0.99029999999999996</v>
      </c>
      <c r="W16" s="55">
        <v>0.78710000000000002</v>
      </c>
      <c r="X16" s="62">
        <f t="shared" si="7"/>
        <v>6.5620526999999997</v>
      </c>
      <c r="Y16" s="62">
        <f t="shared" si="5"/>
        <v>5.1928872805303747</v>
      </c>
      <c r="Z16" s="55">
        <f t="shared" si="8"/>
        <v>1.1762512944425267</v>
      </c>
      <c r="AA16" s="64">
        <f t="shared" si="9"/>
        <v>11.138776264819814</v>
      </c>
      <c r="AB16" s="65">
        <v>0.2379</v>
      </c>
      <c r="AC16" s="65">
        <v>0.49680000000000002</v>
      </c>
      <c r="AD16" s="46">
        <v>637</v>
      </c>
      <c r="AE16" s="46"/>
    </row>
    <row r="17" spans="1:31" x14ac:dyDescent="0.25">
      <c r="A17">
        <v>4</v>
      </c>
      <c r="B17" s="2" t="s">
        <v>31</v>
      </c>
      <c r="C17" s="10">
        <f t="shared" si="0"/>
        <v>2.6021772726535577</v>
      </c>
      <c r="D17" s="11">
        <f t="shared" si="1"/>
        <v>74.834999999999994</v>
      </c>
      <c r="E17" s="40">
        <v>0.74834999999999996</v>
      </c>
      <c r="F17" s="5">
        <f t="shared" si="2"/>
        <v>0.54858310206062855</v>
      </c>
      <c r="G17" s="12">
        <f t="shared" si="3"/>
        <v>8.9022720927423418</v>
      </c>
      <c r="H17" s="3">
        <f t="shared" ref="H17:H25" si="10">D17-G17</f>
        <v>65.932727907257657</v>
      </c>
      <c r="I17" s="12">
        <f t="shared" si="4"/>
        <v>0.34239850447513481</v>
      </c>
      <c r="J17" s="12">
        <f t="shared" ref="J17:J25" si="11">I17*C17</f>
        <v>0.8909816065357633</v>
      </c>
      <c r="L17" s="46" t="s">
        <v>31</v>
      </c>
      <c r="M17" s="61">
        <f t="shared" si="6"/>
        <v>0.74834999999999996</v>
      </c>
      <c r="N17" s="46"/>
      <c r="O17" s="46" t="s">
        <v>9</v>
      </c>
      <c r="P17" s="62">
        <v>16.042999999999999</v>
      </c>
      <c r="Q17" s="63">
        <v>-258.7</v>
      </c>
      <c r="R17" s="63">
        <v>5000</v>
      </c>
      <c r="S17" s="63">
        <v>-296.5</v>
      </c>
      <c r="T17" s="63">
        <v>667.8</v>
      </c>
      <c r="U17" s="64">
        <v>-116.68</v>
      </c>
      <c r="V17" s="55">
        <v>0.99809999999999999</v>
      </c>
      <c r="W17" s="55">
        <v>0.3</v>
      </c>
      <c r="X17" s="62">
        <f t="shared" si="7"/>
        <v>2.5010999999999997</v>
      </c>
      <c r="Y17" s="62">
        <f>P17/X17</f>
        <v>6.4143776738235179</v>
      </c>
      <c r="Z17" s="55">
        <f t="shared" si="8"/>
        <v>0.55377977217811525</v>
      </c>
      <c r="AA17" s="64">
        <f t="shared" si="9"/>
        <v>23.659224583930687</v>
      </c>
      <c r="AB17" s="65">
        <v>0.52659999999999996</v>
      </c>
      <c r="AC17" s="65"/>
      <c r="AD17" s="46">
        <v>1009.7</v>
      </c>
      <c r="AE17" s="46">
        <f>9500*2.5</f>
        <v>23750</v>
      </c>
    </row>
    <row r="18" spans="1:31" x14ac:dyDescent="0.25">
      <c r="A18">
        <v>5</v>
      </c>
      <c r="B18" s="2" t="s">
        <v>32</v>
      </c>
      <c r="C18" s="10">
        <f t="shared" si="0"/>
        <v>0.16212530181405263</v>
      </c>
      <c r="D18" s="11">
        <f t="shared" si="1"/>
        <v>10.366</v>
      </c>
      <c r="E18" s="40">
        <v>0.10366</v>
      </c>
      <c r="F18" s="5">
        <f t="shared" si="2"/>
        <v>-0.22857980554485702</v>
      </c>
      <c r="G18" s="12">
        <f t="shared" si="3"/>
        <v>7.092964528328463</v>
      </c>
      <c r="H18" s="3">
        <f t="shared" si="10"/>
        <v>3.2730354716715366</v>
      </c>
      <c r="I18" s="12">
        <f t="shared" si="4"/>
        <v>0.27280905610319417</v>
      </c>
      <c r="J18" s="12">
        <f t="shared" si="11"/>
        <v>4.4229250558337173E-2</v>
      </c>
      <c r="L18" s="46" t="s">
        <v>32</v>
      </c>
      <c r="M18" s="61">
        <f t="shared" si="6"/>
        <v>0.10366</v>
      </c>
      <c r="N18" s="62">
        <f t="shared" ref="N18:N25" si="12">Y18*M18/0.3795</f>
        <v>2.8230084356716909</v>
      </c>
      <c r="O18" s="46" t="s">
        <v>10</v>
      </c>
      <c r="P18" s="62">
        <v>30.7</v>
      </c>
      <c r="Q18" s="63">
        <v>-127.44</v>
      </c>
      <c r="R18" s="63">
        <v>800</v>
      </c>
      <c r="S18" s="63">
        <v>-297.04000000000002</v>
      </c>
      <c r="T18" s="63">
        <v>707.8</v>
      </c>
      <c r="U18" s="64">
        <v>90.1</v>
      </c>
      <c r="V18" s="55">
        <v>0.99609999999999999</v>
      </c>
      <c r="W18" s="55">
        <v>0.35630000000000001</v>
      </c>
      <c r="X18" s="62">
        <f t="shared" si="7"/>
        <v>2.9704731</v>
      </c>
      <c r="Y18" s="62">
        <f t="shared" ref="Y18:Y25" si="13">P18/X18</f>
        <v>10.335054035668595</v>
      </c>
      <c r="Z18" s="55">
        <f t="shared" si="8"/>
        <v>1.0597169485674836</v>
      </c>
      <c r="AA18" s="64">
        <f t="shared" si="9"/>
        <v>12.363678827361564</v>
      </c>
      <c r="AB18" s="65">
        <v>0.40799999999999997</v>
      </c>
      <c r="AC18" s="65">
        <v>0.92559999999999998</v>
      </c>
      <c r="AD18" s="46">
        <v>1768</v>
      </c>
      <c r="AE18" s="46">
        <v>65889</v>
      </c>
    </row>
    <row r="19" spans="1:31" x14ac:dyDescent="0.25">
      <c r="A19">
        <v>6</v>
      </c>
      <c r="B19" s="2" t="s">
        <v>33</v>
      </c>
      <c r="C19" s="10">
        <f t="shared" si="0"/>
        <v>2.1837275381472666E-2</v>
      </c>
      <c r="D19" s="11">
        <f t="shared" si="1"/>
        <v>4.9140000000000006</v>
      </c>
      <c r="E19" s="40">
        <v>4.9140000000000003E-2</v>
      </c>
      <c r="F19" s="5">
        <f t="shared" si="2"/>
        <v>-0.17405485491189024</v>
      </c>
      <c r="G19" s="12">
        <f t="shared" si="3"/>
        <v>4.6264091439506831</v>
      </c>
      <c r="H19" s="3">
        <f t="shared" si="10"/>
        <v>0.28759085604931744</v>
      </c>
      <c r="I19" s="12">
        <f t="shared" si="4"/>
        <v>0.17794059263479875</v>
      </c>
      <c r="J19" s="12">
        <f t="shared" si="11"/>
        <v>3.885737722908547E-3</v>
      </c>
      <c r="L19" s="46" t="s">
        <v>33</v>
      </c>
      <c r="M19" s="61">
        <f t="shared" si="6"/>
        <v>4.9140000000000003E-2</v>
      </c>
      <c r="N19" s="62">
        <f t="shared" si="12"/>
        <v>1.3495425076888756</v>
      </c>
      <c r="O19" s="46" t="s">
        <v>11</v>
      </c>
      <c r="P19" s="62">
        <v>44.097000000000001</v>
      </c>
      <c r="Q19" s="63">
        <v>-43.73</v>
      </c>
      <c r="R19" s="63">
        <v>188</v>
      </c>
      <c r="S19" s="63">
        <v>-305.82</v>
      </c>
      <c r="T19" s="63">
        <v>616.29999999999995</v>
      </c>
      <c r="U19" s="64">
        <v>206.1</v>
      </c>
      <c r="V19" s="55">
        <v>0.98080000000000001</v>
      </c>
      <c r="W19" s="55">
        <v>0.50749999999999995</v>
      </c>
      <c r="X19" s="62">
        <f t="shared" si="7"/>
        <v>4.2310274999999997</v>
      </c>
      <c r="Y19" s="62">
        <f t="shared" si="13"/>
        <v>10.422291039233379</v>
      </c>
      <c r="Z19" s="55">
        <f t="shared" si="8"/>
        <v>1.5221608560579911</v>
      </c>
      <c r="AA19" s="64">
        <f t="shared" si="9"/>
        <v>8.6075002834659955</v>
      </c>
      <c r="AB19" s="65">
        <v>0.38869999999999999</v>
      </c>
      <c r="AC19" s="65">
        <v>0.59019999999999995</v>
      </c>
      <c r="AD19" s="46">
        <v>2517</v>
      </c>
      <c r="AE19" s="46">
        <v>90962</v>
      </c>
    </row>
    <row r="20" spans="1:31" x14ac:dyDescent="0.25">
      <c r="A20">
        <v>7</v>
      </c>
      <c r="B20" s="2" t="s">
        <v>34</v>
      </c>
      <c r="C20" s="10">
        <f t="shared" si="0"/>
        <v>7.7011856024617343E-3</v>
      </c>
      <c r="D20" s="11">
        <f t="shared" si="1"/>
        <v>0.64700000000000002</v>
      </c>
      <c r="E20" s="40">
        <v>6.4700000000000001E-3</v>
      </c>
      <c r="F20" s="5">
        <f t="shared" si="2"/>
        <v>-2.4163343832258145E-2</v>
      </c>
      <c r="G20" s="12">
        <f t="shared" si="3"/>
        <v>0.63311640410529324</v>
      </c>
      <c r="H20" s="3">
        <f t="shared" si="10"/>
        <v>1.3883595894706779E-2</v>
      </c>
      <c r="I20" s="12">
        <f t="shared" si="4"/>
        <v>2.4350874435871021E-2</v>
      </c>
      <c r="J20" s="12">
        <f t="shared" si="11"/>
        <v>1.8753060361288341E-4</v>
      </c>
      <c r="L20" s="46" t="s">
        <v>34</v>
      </c>
      <c r="M20" s="61">
        <f t="shared" si="6"/>
        <v>6.4700000000000001E-3</v>
      </c>
      <c r="N20" s="62">
        <f t="shared" si="12"/>
        <v>0.2111202046464449</v>
      </c>
      <c r="O20" s="46" t="s">
        <v>12</v>
      </c>
      <c r="P20" s="62">
        <v>58.124000000000002</v>
      </c>
      <c r="Q20" s="63">
        <v>10.74</v>
      </c>
      <c r="R20" s="63">
        <v>72.39</v>
      </c>
      <c r="S20" s="63">
        <v>-255.28</v>
      </c>
      <c r="T20" s="63">
        <v>529.1</v>
      </c>
      <c r="U20" s="64">
        <v>274.95999999999998</v>
      </c>
      <c r="V20" s="55">
        <v>0.96609999999999996</v>
      </c>
      <c r="W20" s="55">
        <v>0.56299999999999994</v>
      </c>
      <c r="X20" s="62">
        <f t="shared" si="7"/>
        <v>4.6937309999999997</v>
      </c>
      <c r="Y20" s="62">
        <f t="shared" si="13"/>
        <v>12.383325759401211</v>
      </c>
      <c r="Z20" s="55">
        <f t="shared" si="8"/>
        <v>2.0063513979979288</v>
      </c>
      <c r="AA20" s="64">
        <f t="shared" si="9"/>
        <v>6.5302618539673807</v>
      </c>
      <c r="AB20" s="65">
        <v>0.38669999999999999</v>
      </c>
      <c r="AC20" s="65">
        <v>0.56599999999999995</v>
      </c>
      <c r="AD20" s="46">
        <v>3252</v>
      </c>
      <c r="AE20" s="46">
        <v>98968</v>
      </c>
    </row>
    <row r="21" spans="1:31" x14ac:dyDescent="0.25">
      <c r="A21">
        <v>8</v>
      </c>
      <c r="B21" s="2" t="s">
        <v>35</v>
      </c>
      <c r="C21" s="10">
        <f t="shared" si="0"/>
        <v>5.0932572906745091E-3</v>
      </c>
      <c r="D21" s="11">
        <f t="shared" si="1"/>
        <v>1.4279999999999999</v>
      </c>
      <c r="E21" s="40">
        <v>1.4279999999999999E-2</v>
      </c>
      <c r="F21" s="5">
        <f t="shared" si="2"/>
        <v>-5.3862537773516773E-2</v>
      </c>
      <c r="G21" s="12">
        <f t="shared" si="3"/>
        <v>1.4075811508101954</v>
      </c>
      <c r="H21" s="3">
        <f t="shared" si="10"/>
        <v>2.0418849189804522E-2</v>
      </c>
      <c r="I21" s="12">
        <f t="shared" si="4"/>
        <v>5.4138277952402412E-2</v>
      </c>
      <c r="J21" s="12">
        <f t="shared" si="11"/>
        <v>2.7574017888563662E-4</v>
      </c>
      <c r="L21" s="46" t="s">
        <v>35</v>
      </c>
      <c r="M21" s="61">
        <f t="shared" si="6"/>
        <v>1.4279999999999999E-2</v>
      </c>
      <c r="N21" s="62">
        <f t="shared" si="12"/>
        <v>0.44897921212577746</v>
      </c>
      <c r="O21" s="46" t="s">
        <v>12</v>
      </c>
      <c r="P21" s="62">
        <v>58.124000000000002</v>
      </c>
      <c r="Q21" s="63">
        <v>31.12</v>
      </c>
      <c r="R21" s="63">
        <v>51.54</v>
      </c>
      <c r="S21" s="63">
        <v>-217.05</v>
      </c>
      <c r="T21" s="63">
        <v>550.70000000000005</v>
      </c>
      <c r="U21" s="64">
        <v>305.62</v>
      </c>
      <c r="V21" s="55">
        <v>0.93669999999999998</v>
      </c>
      <c r="W21" s="55">
        <v>0.58430000000000004</v>
      </c>
      <c r="X21" s="62">
        <f t="shared" si="7"/>
        <v>4.8713091000000004</v>
      </c>
      <c r="Y21" s="62">
        <f t="shared" si="13"/>
        <v>11.931905532334213</v>
      </c>
      <c r="Z21" s="55">
        <f t="shared" si="8"/>
        <v>2.0063513979979288</v>
      </c>
      <c r="AA21" s="64">
        <f t="shared" si="9"/>
        <v>6.5302618539673807</v>
      </c>
      <c r="AB21" s="65">
        <v>0.39510000000000001</v>
      </c>
      <c r="AC21" s="65">
        <v>0.56599999999999995</v>
      </c>
      <c r="AD21" s="46">
        <v>3262</v>
      </c>
      <c r="AE21" s="46">
        <v>102918</v>
      </c>
    </row>
    <row r="22" spans="1:31" x14ac:dyDescent="0.25">
      <c r="A22">
        <v>9</v>
      </c>
      <c r="B22" s="2" t="s">
        <v>36</v>
      </c>
      <c r="C22" s="10">
        <f t="shared" si="0"/>
        <v>1.9363762615713402E-3</v>
      </c>
      <c r="D22" s="11">
        <f t="shared" si="1"/>
        <v>0.33100000000000002</v>
      </c>
      <c r="E22" s="40">
        <v>3.31E-3</v>
      </c>
      <c r="F22" s="5">
        <f t="shared" si="2"/>
        <v>-1.2636475216542901E-2</v>
      </c>
      <c r="G22" s="12">
        <f t="shared" si="3"/>
        <v>0.32918249130845384</v>
      </c>
      <c r="H22" s="3">
        <f t="shared" si="10"/>
        <v>1.8175086915461769E-3</v>
      </c>
      <c r="I22" s="12">
        <f t="shared" si="4"/>
        <v>1.2660991660241748E-2</v>
      </c>
      <c r="J22" s="12">
        <f t="shared" si="11"/>
        <v>2.4516443698844834E-5</v>
      </c>
      <c r="L22" s="46" t="s">
        <v>36</v>
      </c>
      <c r="M22" s="61">
        <f t="shared" si="6"/>
        <v>3.31E-3</v>
      </c>
      <c r="N22" s="62">
        <f t="shared" si="12"/>
        <v>0.12088874593856708</v>
      </c>
      <c r="O22" s="46" t="s">
        <v>13</v>
      </c>
      <c r="P22" s="62">
        <v>72.150999999999996</v>
      </c>
      <c r="Q22" s="63">
        <v>82.11</v>
      </c>
      <c r="R22" s="63">
        <v>20.443999999999999</v>
      </c>
      <c r="S22" s="63">
        <v>-255.82</v>
      </c>
      <c r="T22" s="63">
        <v>490.4</v>
      </c>
      <c r="U22" s="64">
        <v>369.03</v>
      </c>
      <c r="V22" s="55">
        <v>0.94799999999999995</v>
      </c>
      <c r="W22" s="55">
        <v>0.62439999999999996</v>
      </c>
      <c r="X22" s="62">
        <f t="shared" si="7"/>
        <v>5.2056227999999996</v>
      </c>
      <c r="Y22" s="62">
        <f t="shared" si="13"/>
        <v>13.860205161234502</v>
      </c>
      <c r="Z22" s="55">
        <f t="shared" si="8"/>
        <v>2.4905419399378665</v>
      </c>
      <c r="AA22" s="64">
        <f t="shared" si="9"/>
        <v>5.260702415766934</v>
      </c>
      <c r="AB22" s="65">
        <v>0.38290000000000002</v>
      </c>
      <c r="AC22" s="65">
        <v>0.5353</v>
      </c>
      <c r="AD22" s="46">
        <v>4000</v>
      </c>
      <c r="AE22" s="46">
        <v>108722</v>
      </c>
    </row>
    <row r="23" spans="1:31" x14ac:dyDescent="0.25">
      <c r="A23">
        <v>10</v>
      </c>
      <c r="B23" s="2" t="s">
        <v>37</v>
      </c>
      <c r="C23" s="10">
        <f t="shared" si="0"/>
        <v>1.3521390158641134E-3</v>
      </c>
      <c r="D23" s="11">
        <f t="shared" si="1"/>
        <v>0.34599999999999997</v>
      </c>
      <c r="E23" s="40">
        <v>3.46E-3</v>
      </c>
      <c r="F23" s="5">
        <f t="shared" si="2"/>
        <v>-1.3238750507707179E-2</v>
      </c>
      <c r="G23" s="12">
        <f t="shared" si="3"/>
        <v>0.34467011303268846</v>
      </c>
      <c r="H23" s="3">
        <f t="shared" si="10"/>
        <v>1.329886967311511E-3</v>
      </c>
      <c r="I23" s="12">
        <f t="shared" si="4"/>
        <v>1.3256675375703313E-2</v>
      </c>
      <c r="J23" s="12">
        <f t="shared" si="11"/>
        <v>1.7924867996133502E-5</v>
      </c>
      <c r="L23" s="46" t="s">
        <v>37</v>
      </c>
      <c r="M23" s="61">
        <f t="shared" si="6"/>
        <v>3.46E-3</v>
      </c>
      <c r="N23" s="62">
        <f t="shared" si="12"/>
        <v>0.12502552635789271</v>
      </c>
      <c r="O23" s="46" t="s">
        <v>13</v>
      </c>
      <c r="P23" s="62">
        <v>72.150999999999996</v>
      </c>
      <c r="Q23" s="63">
        <v>96.91</v>
      </c>
      <c r="R23" s="63">
        <v>15.574999999999999</v>
      </c>
      <c r="S23" s="63">
        <v>-201.51</v>
      </c>
      <c r="T23" s="63">
        <v>488.6</v>
      </c>
      <c r="U23" s="64">
        <v>385.6</v>
      </c>
      <c r="V23" s="55">
        <v>0.94199999999999995</v>
      </c>
      <c r="W23" s="55">
        <v>0.63109999999999999</v>
      </c>
      <c r="X23" s="62">
        <f t="shared" si="7"/>
        <v>5.2614806999999999</v>
      </c>
      <c r="Y23" s="62">
        <f t="shared" si="13"/>
        <v>13.713059899659044</v>
      </c>
      <c r="Z23" s="55">
        <f t="shared" si="8"/>
        <v>2.4905419399378665</v>
      </c>
      <c r="AA23" s="64">
        <f t="shared" si="9"/>
        <v>5.260702415766934</v>
      </c>
      <c r="AB23" s="65">
        <v>0.39900000000000002</v>
      </c>
      <c r="AC23" s="65">
        <v>0.54800000000000004</v>
      </c>
      <c r="AD23" s="46">
        <v>4008</v>
      </c>
      <c r="AE23" s="46">
        <v>110071</v>
      </c>
    </row>
    <row r="24" spans="1:31" x14ac:dyDescent="0.25">
      <c r="A24">
        <v>11</v>
      </c>
      <c r="B24" s="2" t="s">
        <v>1</v>
      </c>
      <c r="C24" s="10">
        <f t="shared" si="0"/>
        <v>4.6220409480633544E-4</v>
      </c>
      <c r="D24" s="11">
        <f t="shared" si="1"/>
        <v>0.35100000000000003</v>
      </c>
      <c r="E24" s="40">
        <v>3.5100000000000001E-3</v>
      </c>
      <c r="F24" s="5">
        <f t="shared" si="2"/>
        <v>-1.3476032470611082E-2</v>
      </c>
      <c r="G24" s="12">
        <f t="shared" si="3"/>
        <v>0.35053535934590996</v>
      </c>
      <c r="H24" s="3">
        <f t="shared" si="10"/>
        <v>4.6464065409007604E-4</v>
      </c>
      <c r="I24" s="12">
        <f t="shared" si="4"/>
        <v>1.3482264028252202E-2</v>
      </c>
      <c r="J24" s="12">
        <f t="shared" si="11"/>
        <v>6.2315576411183269E-6</v>
      </c>
      <c r="L24" s="46" t="s">
        <v>1</v>
      </c>
      <c r="M24" s="61">
        <f t="shared" si="6"/>
        <v>3.5100000000000001E-3</v>
      </c>
      <c r="N24" s="62">
        <f t="shared" si="12"/>
        <v>0.143983877914233</v>
      </c>
      <c r="O24" s="46" t="s">
        <v>14</v>
      </c>
      <c r="P24" s="62">
        <v>86.177999999999997</v>
      </c>
      <c r="Q24" s="63">
        <v>155.72999999999999</v>
      </c>
      <c r="R24" s="63">
        <v>4.96</v>
      </c>
      <c r="S24" s="63">
        <v>-139.58000000000001</v>
      </c>
      <c r="T24" s="63">
        <v>710.4</v>
      </c>
      <c r="U24" s="64">
        <v>453.6</v>
      </c>
      <c r="V24" s="55">
        <v>0.91</v>
      </c>
      <c r="W24" s="55">
        <v>0.66400000000000003</v>
      </c>
      <c r="X24" s="62">
        <f t="shared" si="7"/>
        <v>5.535768</v>
      </c>
      <c r="Y24" s="62">
        <f t="shared" si="13"/>
        <v>15.567487654829465</v>
      </c>
      <c r="Z24" s="55">
        <f t="shared" si="8"/>
        <v>2.9747324818778047</v>
      </c>
      <c r="AA24" s="64">
        <f t="shared" si="9"/>
        <v>4.4044296688249904</v>
      </c>
      <c r="AB24" s="65">
        <v>0.38569999999999999</v>
      </c>
      <c r="AC24" s="65">
        <v>0.53320000000000001</v>
      </c>
      <c r="AD24" s="46">
        <v>4756</v>
      </c>
      <c r="AE24" s="46">
        <v>115055</v>
      </c>
    </row>
    <row r="25" spans="1:31" ht="15.75" thickBot="1" x14ac:dyDescent="0.3">
      <c r="A25">
        <v>12</v>
      </c>
      <c r="B25" s="2" t="s">
        <v>15</v>
      </c>
      <c r="C25" s="10">
        <f t="shared" si="0"/>
        <v>3.749736029488429E-5</v>
      </c>
      <c r="D25" s="11">
        <f t="shared" si="1"/>
        <v>2.4E-2</v>
      </c>
      <c r="E25" s="40">
        <v>2.4000000000000001E-4</v>
      </c>
      <c r="F25" s="5">
        <f t="shared" si="2"/>
        <v>-9.2294381056018393E-4</v>
      </c>
      <c r="G25" s="12">
        <f t="shared" si="3"/>
        <v>2.3997198940788788E-2</v>
      </c>
      <c r="H25" s="3">
        <f t="shared" si="10"/>
        <v>2.8010592112125143E-6</v>
      </c>
      <c r="I25" s="12">
        <f t="shared" si="4"/>
        <v>9.2297841981453608E-4</v>
      </c>
      <c r="J25" s="12">
        <f t="shared" si="11"/>
        <v>3.4609254352188627E-8</v>
      </c>
      <c r="L25" s="46" t="s">
        <v>15</v>
      </c>
      <c r="M25" s="61">
        <f t="shared" si="6"/>
        <v>2.4000000000000001E-4</v>
      </c>
      <c r="N25" s="62">
        <f t="shared" si="12"/>
        <v>1.1424089072982754E-2</v>
      </c>
      <c r="O25" s="46" t="s">
        <v>188</v>
      </c>
      <c r="P25" s="62">
        <v>100</v>
      </c>
      <c r="Q25" s="63">
        <v>155.72999999999999</v>
      </c>
      <c r="R25" s="63">
        <v>4.96</v>
      </c>
      <c r="S25" s="63">
        <v>-139.58000000000001</v>
      </c>
      <c r="T25" s="63">
        <v>710.4</v>
      </c>
      <c r="U25" s="64">
        <v>453.6</v>
      </c>
      <c r="V25" s="55">
        <v>0.91</v>
      </c>
      <c r="W25" s="55">
        <v>0.66400000000000003</v>
      </c>
      <c r="X25" s="62">
        <f t="shared" si="7"/>
        <v>5.535768</v>
      </c>
      <c r="Y25" s="62">
        <f t="shared" si="13"/>
        <v>18.064340846653977</v>
      </c>
      <c r="Z25" s="55">
        <f t="shared" si="8"/>
        <v>3.4518467380048325</v>
      </c>
      <c r="AA25" s="64">
        <f t="shared" si="9"/>
        <v>3.7956494000000003</v>
      </c>
      <c r="AB25" s="65">
        <v>0.38569999999999999</v>
      </c>
      <c r="AC25" s="65">
        <v>0.53320000000000001</v>
      </c>
      <c r="AD25" s="46">
        <v>4756</v>
      </c>
      <c r="AE25" s="46">
        <v>115055</v>
      </c>
    </row>
    <row r="26" spans="1:31" ht="15.75" thickBot="1" x14ac:dyDescent="0.3">
      <c r="B26" s="13" t="s">
        <v>38</v>
      </c>
      <c r="C26" s="14"/>
      <c r="D26" s="15">
        <f t="shared" ref="D26:J26" si="14">SUM(D14:D25)</f>
        <v>99.999000000000009</v>
      </c>
      <c r="E26" s="16">
        <f>SUM(E14:E25)</f>
        <v>0.99998999999999993</v>
      </c>
      <c r="F26" s="14">
        <f t="shared" si="14"/>
        <v>2.1952564794017825E-2</v>
      </c>
      <c r="G26" s="17">
        <f t="shared" si="14"/>
        <v>25.577116879636566</v>
      </c>
      <c r="H26" s="18">
        <f t="shared" si="14"/>
        <v>74.421883120363447</v>
      </c>
      <c r="I26" s="17">
        <f t="shared" si="14"/>
        <v>0.98374510205242682</v>
      </c>
      <c r="J26" s="19">
        <f t="shared" si="14"/>
        <v>1.0056976668464443</v>
      </c>
      <c r="L26" s="46" t="s">
        <v>205</v>
      </c>
      <c r="M26" s="65">
        <f>SUM(M14:M25)</f>
        <v>0.99998999999999993</v>
      </c>
      <c r="N26" s="62">
        <f>SUM(N18:N25)</f>
        <v>5.2339725994164645</v>
      </c>
      <c r="O26" s="46"/>
      <c r="P26" s="62">
        <f t="shared" ref="P26:W26" si="15">P14*$M14+P15*$M15+P16*$M16+P17*$M17+P18*$M18+P19*$M19+P20*$M20+P21*$M21+P22*$M22+P23*$M23+P24*$M24+P25*$M25</f>
        <v>22.158039349999999</v>
      </c>
      <c r="Q26" s="63">
        <f t="shared" si="15"/>
        <v>-216.89352228000001</v>
      </c>
      <c r="R26" s="63">
        <f t="shared" si="15"/>
        <v>3835.2608336399999</v>
      </c>
      <c r="S26" s="63">
        <f t="shared" si="15"/>
        <v>-282.5498422</v>
      </c>
      <c r="T26" s="63">
        <f t="shared" si="15"/>
        <v>686.10596299999997</v>
      </c>
      <c r="U26" s="64">
        <f t="shared" si="15"/>
        <v>-55.3563063</v>
      </c>
      <c r="V26" s="55">
        <f t="shared" si="15"/>
        <v>0.99506965029999983</v>
      </c>
      <c r="W26" s="65">
        <f t="shared" si="15"/>
        <v>0.36025130599999999</v>
      </c>
      <c r="X26" s="62">
        <f t="shared" si="7"/>
        <v>3.003415138122</v>
      </c>
      <c r="Y26" s="65">
        <f>Y14*$M14+Y15*$M15+Y16*$M16+Y17*$M17+Y18*$M18+Y19*$M19+Y20*$M20+Y21*$M21+Y22*$M22+Y23*$M23+Y24*$M24+Y25*$M25</f>
        <v>7.1951216931472377</v>
      </c>
      <c r="Z26" s="55">
        <f t="shared" si="8"/>
        <v>0.76486155850880222</v>
      </c>
      <c r="AA26" s="64">
        <f>AA14*$M14+AA15*$M15+AA16*$M16+AA17*$M17+AA18*$M18+AA19*$M19+AA20*$M20+AA21*$M21+AA22*$M22+AA23*$M23+AA24*$M24+AA25*$M25</f>
        <v>20.239270911033902</v>
      </c>
      <c r="AB26" s="65">
        <f>AB14*$M14+AB15*$M15+AB16*$M16+AB17*$M17+AB18*$M18+AB19*$M19+AB20*$M20+AB21*$M21+AB22*$M22+AB23*$M23+AB24*$M24+AB25*$M25</f>
        <v>0.48175213499999997</v>
      </c>
      <c r="AC26" s="65">
        <f>AC14*$M14+AC15*$M15+AC16*$M16+AC17*$M17+AC18*$M18+AC19*$M19+AC20*$M20+AC21*$M21+AC22*$M22+AC23*$M23+AC24*$M24+AC25*$M25</f>
        <v>0.14236204699999999</v>
      </c>
      <c r="AD26" s="63">
        <f>AD14*$M14+AD15*$M15+AD16*$M16+AD17*$M17+AD18*$M18+AD19*$M19+AD20*$M20+AD21*$M21+AD22*$M22+AD23*$M23+AD24*$M24+AD25*$M25</f>
        <v>1175.129735</v>
      </c>
      <c r="AE26" s="63">
        <f>AE14*$M14+AE15*$M15+AE16*$M16+AE17*$M17+AE18*$M18+AE19*$M19+AE20*$M20+AE21*$M21+AE22*$M22+AE23*$M23+AE24*$M24+AE25*$M25</f>
        <v>32355.40265</v>
      </c>
    </row>
    <row r="27" spans="1:31" x14ac:dyDescent="0.25">
      <c r="B27" s="49"/>
      <c r="D27" s="11"/>
      <c r="E27" s="50"/>
      <c r="G27" s="12"/>
      <c r="H27" s="3"/>
      <c r="I27" s="12"/>
      <c r="J27" s="12"/>
      <c r="L27" s="2"/>
      <c r="M27" s="51"/>
      <c r="N27" s="52"/>
      <c r="O27" s="5"/>
      <c r="P27" s="3"/>
      <c r="Q27" s="3"/>
      <c r="R27" s="3"/>
      <c r="S27" s="3"/>
      <c r="T27" s="3"/>
      <c r="U27" s="3"/>
      <c r="V27" s="4"/>
      <c r="W27" s="3"/>
      <c r="X27" s="3"/>
      <c r="Y27" s="3"/>
      <c r="Z27" s="53"/>
      <c r="AA27" s="4"/>
      <c r="AB27" s="3"/>
      <c r="AC27" s="3"/>
      <c r="AD27" s="54"/>
      <c r="AE27" s="54"/>
    </row>
    <row r="28" spans="1:31" ht="15.75" x14ac:dyDescent="0.25">
      <c r="B28" s="38" t="s">
        <v>180</v>
      </c>
    </row>
    <row r="29" spans="1:31" ht="15" customHeight="1" x14ac:dyDescent="0.25">
      <c r="L29" s="2"/>
      <c r="M29" s="2"/>
      <c r="N29" s="3"/>
      <c r="O29" s="2"/>
      <c r="P29" s="3"/>
      <c r="Q29" s="3"/>
      <c r="R29" s="3"/>
      <c r="S29" s="3"/>
      <c r="T29" s="3"/>
      <c r="U29" s="3"/>
      <c r="V29" s="3"/>
      <c r="W29" s="3"/>
      <c r="X29" s="3"/>
      <c r="Y29" s="3"/>
      <c r="Z29" s="3"/>
      <c r="AA29" s="4" t="s">
        <v>16</v>
      </c>
      <c r="AB29" s="3"/>
      <c r="AC29" s="3"/>
      <c r="AD29" s="3"/>
      <c r="AE29" s="3"/>
    </row>
    <row r="30" spans="1:31" x14ac:dyDescent="0.25">
      <c r="K30" s="5"/>
      <c r="L30" s="5"/>
      <c r="M30" s="5"/>
      <c r="N30" s="2"/>
      <c r="O30" s="2"/>
      <c r="P30" s="2"/>
      <c r="Q30" s="2"/>
      <c r="R30" s="2"/>
      <c r="S30" s="2"/>
      <c r="T30" s="2"/>
      <c r="U30" s="2"/>
      <c r="V30" s="2"/>
      <c r="W30" s="2"/>
      <c r="X30" s="2"/>
      <c r="Y30" s="3"/>
      <c r="Z30" s="4"/>
      <c r="AA30" s="4"/>
      <c r="AB30" s="2"/>
      <c r="AC30" s="2"/>
      <c r="AD30" s="2"/>
      <c r="AE30" s="2"/>
    </row>
    <row r="31" spans="1:31" x14ac:dyDescent="0.25">
      <c r="B31" s="20" t="s">
        <v>39</v>
      </c>
    </row>
    <row r="34" spans="1:15" s="5" customFormat="1" ht="16.5" x14ac:dyDescent="0.25">
      <c r="A34" s="21"/>
      <c r="B34"/>
      <c r="D34" s="22" t="s">
        <v>40</v>
      </c>
      <c r="K34"/>
      <c r="L34"/>
      <c r="M34"/>
      <c r="N34"/>
      <c r="O34"/>
    </row>
    <row r="35" spans="1:15" s="5" customFormat="1" x14ac:dyDescent="0.25">
      <c r="A35" s="21"/>
      <c r="B35"/>
      <c r="D35" s="23" t="s">
        <v>41</v>
      </c>
      <c r="K35"/>
      <c r="L35"/>
      <c r="M35"/>
      <c r="N35"/>
      <c r="O35"/>
    </row>
    <row r="37" spans="1:15" s="5" customFormat="1" x14ac:dyDescent="0.25">
      <c r="A37"/>
      <c r="B37"/>
      <c r="D37" s="7" t="s">
        <v>42</v>
      </c>
      <c r="F37" s="5" t="s">
        <v>43</v>
      </c>
      <c r="K37"/>
      <c r="L37"/>
      <c r="M37"/>
      <c r="N37"/>
      <c r="O37"/>
    </row>
    <row r="38" spans="1:15" s="5" customFormat="1" x14ac:dyDescent="0.25">
      <c r="A38"/>
      <c r="B38"/>
      <c r="D38" s="7" t="s">
        <v>44</v>
      </c>
      <c r="K38"/>
      <c r="L38"/>
      <c r="M38"/>
      <c r="N38"/>
      <c r="O38"/>
    </row>
    <row r="41" spans="1:15" ht="21" x14ac:dyDescent="0.35">
      <c r="D41" s="24" t="s">
        <v>45</v>
      </c>
      <c r="E41"/>
      <c r="F41"/>
      <c r="G41"/>
      <c r="H41"/>
      <c r="I41"/>
      <c r="J41"/>
    </row>
    <row r="42" spans="1:15" x14ac:dyDescent="0.25">
      <c r="D42"/>
      <c r="E42" t="s">
        <v>46</v>
      </c>
      <c r="F42"/>
      <c r="G42"/>
      <c r="H42"/>
      <c r="I42"/>
      <c r="J42"/>
    </row>
    <row r="43" spans="1:15" x14ac:dyDescent="0.25">
      <c r="D43"/>
      <c r="E43"/>
      <c r="F43"/>
      <c r="G43"/>
      <c r="H43"/>
      <c r="I43"/>
      <c r="J43"/>
    </row>
    <row r="44" spans="1:15" x14ac:dyDescent="0.25">
      <c r="C44" s="26"/>
      <c r="D44" s="27" t="s">
        <v>47</v>
      </c>
      <c r="E44" s="28"/>
      <c r="F44" s="28"/>
      <c r="G44" s="28"/>
      <c r="H44" s="28"/>
      <c r="I44" s="28"/>
      <c r="J44"/>
      <c r="K44" s="27" t="s">
        <v>48</v>
      </c>
      <c r="L44" s="28"/>
      <c r="M44" s="28"/>
      <c r="N44" s="28"/>
      <c r="O44" s="28"/>
    </row>
    <row r="45" spans="1:15" x14ac:dyDescent="0.25">
      <c r="C45" s="26"/>
      <c r="D45" s="28"/>
      <c r="E45" s="28"/>
      <c r="F45" s="28"/>
      <c r="G45" s="28"/>
      <c r="H45" s="28"/>
      <c r="I45" s="28"/>
      <c r="J45"/>
      <c r="K45" s="28"/>
      <c r="L45" s="28"/>
      <c r="M45" s="28"/>
      <c r="N45" s="28"/>
      <c r="O45" s="28"/>
    </row>
    <row r="46" spans="1:15" ht="18" x14ac:dyDescent="0.35">
      <c r="C46" s="26"/>
      <c r="D46" s="29" t="s">
        <v>49</v>
      </c>
      <c r="E46" s="28"/>
      <c r="F46" s="28"/>
      <c r="G46" s="28"/>
      <c r="H46" s="28"/>
      <c r="I46" s="28"/>
      <c r="J46"/>
      <c r="K46" s="29" t="s">
        <v>50</v>
      </c>
      <c r="L46" s="28"/>
      <c r="M46" s="28"/>
      <c r="N46" s="28"/>
      <c r="O46" s="28"/>
    </row>
    <row r="47" spans="1:15" x14ac:dyDescent="0.25">
      <c r="C47" s="26"/>
      <c r="D47" s="29"/>
      <c r="E47" s="28"/>
      <c r="F47" s="28"/>
      <c r="G47" s="28"/>
      <c r="H47" s="28"/>
      <c r="I47" s="28"/>
      <c r="J47"/>
      <c r="K47" s="29"/>
      <c r="L47" s="28"/>
      <c r="M47" s="28"/>
      <c r="N47" s="28"/>
      <c r="O47" s="28"/>
    </row>
    <row r="48" spans="1:15" ht="18" x14ac:dyDescent="0.35">
      <c r="C48" s="26"/>
      <c r="D48" s="29" t="s">
        <v>51</v>
      </c>
      <c r="E48" s="28"/>
      <c r="F48" s="28"/>
      <c r="G48" s="28"/>
      <c r="H48" s="28"/>
      <c r="I48" s="28"/>
      <c r="J48"/>
      <c r="K48" s="29" t="s">
        <v>52</v>
      </c>
      <c r="L48" s="28"/>
      <c r="M48" s="28"/>
      <c r="N48" s="28"/>
      <c r="O48" s="28"/>
    </row>
    <row r="49" spans="3:15" x14ac:dyDescent="0.25">
      <c r="C49" s="30">
        <f>B6+460</f>
        <v>360</v>
      </c>
      <c r="D49" s="29" t="s">
        <v>53</v>
      </c>
      <c r="E49" s="28"/>
      <c r="F49" s="28"/>
      <c r="G49" s="28"/>
      <c r="H49" s="28"/>
      <c r="I49" s="28"/>
      <c r="J49"/>
      <c r="K49" s="29" t="s">
        <v>53</v>
      </c>
      <c r="L49" s="28"/>
      <c r="M49" s="28"/>
      <c r="N49" s="28"/>
      <c r="O49" s="28"/>
    </row>
    <row r="50" spans="3:15" ht="18" x14ac:dyDescent="0.35">
      <c r="C50" s="26"/>
      <c r="D50" s="29" t="s">
        <v>54</v>
      </c>
      <c r="E50" s="28"/>
      <c r="F50" s="28"/>
      <c r="G50" s="28"/>
      <c r="H50" s="28"/>
      <c r="I50" s="28"/>
      <c r="J50"/>
      <c r="K50" s="29" t="s">
        <v>54</v>
      </c>
      <c r="L50" s="28"/>
      <c r="M50" s="28"/>
      <c r="N50" s="28"/>
      <c r="O50" s="28"/>
    </row>
    <row r="51" spans="3:15" x14ac:dyDescent="0.25">
      <c r="C51" s="30">
        <f>B7</f>
        <v>1000</v>
      </c>
      <c r="D51" s="29" t="s">
        <v>55</v>
      </c>
      <c r="E51" s="28"/>
      <c r="F51" s="28"/>
      <c r="G51" s="28"/>
      <c r="H51" s="28"/>
      <c r="I51" s="28"/>
      <c r="J51"/>
      <c r="K51" s="29" t="s">
        <v>56</v>
      </c>
      <c r="L51" s="28"/>
      <c r="M51" s="28"/>
      <c r="N51" s="28"/>
      <c r="O51" s="28"/>
    </row>
    <row r="52" spans="3:15" ht="18" x14ac:dyDescent="0.35">
      <c r="C52" s="26"/>
      <c r="D52" s="29" t="s">
        <v>57</v>
      </c>
      <c r="E52" s="28"/>
      <c r="F52" s="28"/>
      <c r="G52" s="28"/>
      <c r="H52" s="28"/>
      <c r="I52" s="28"/>
      <c r="J52"/>
      <c r="K52" s="29" t="s">
        <v>57</v>
      </c>
      <c r="L52" s="28"/>
      <c r="M52" s="28"/>
      <c r="N52" s="28"/>
      <c r="O52" s="28"/>
    </row>
    <row r="53" spans="3:15" ht="18" x14ac:dyDescent="0.35">
      <c r="C53" s="26"/>
      <c r="D53" s="29" t="s">
        <v>58</v>
      </c>
      <c r="E53" s="28"/>
      <c r="F53" s="28"/>
      <c r="G53" s="28"/>
      <c r="H53" s="28"/>
      <c r="I53" s="28"/>
      <c r="J53"/>
    </row>
    <row r="54" spans="3:15" x14ac:dyDescent="0.25">
      <c r="C54" s="26"/>
      <c r="D54" s="29" t="s">
        <v>59</v>
      </c>
      <c r="E54" s="28"/>
      <c r="F54" s="28"/>
      <c r="G54" s="28"/>
      <c r="H54" s="28"/>
      <c r="I54" s="28"/>
      <c r="J54"/>
    </row>
    <row r="55" spans="3:15" x14ac:dyDescent="0.25">
      <c r="C55" s="26"/>
      <c r="D55" s="29"/>
      <c r="E55" s="28"/>
      <c r="F55" s="28"/>
      <c r="G55" s="28"/>
      <c r="H55" s="28"/>
      <c r="I55" s="28"/>
      <c r="J55"/>
    </row>
    <row r="56" spans="3:15" x14ac:dyDescent="0.25">
      <c r="C56" s="26">
        <f>1.2+0.00045*C51+(15*(10^-8))*C51^2</f>
        <v>1.7999999999999998</v>
      </c>
      <c r="D56" s="29" t="s">
        <v>60</v>
      </c>
      <c r="E56" s="28"/>
      <c r="F56" s="28"/>
      <c r="G56" s="28"/>
      <c r="H56" s="28"/>
      <c r="I56" s="28"/>
      <c r="J56"/>
    </row>
    <row r="57" spans="3:15" x14ac:dyDescent="0.25">
      <c r="C57" s="26">
        <f>0.89-0.00017*C51-3.5*(10^-8)*C51^2</f>
        <v>0.68499999999999994</v>
      </c>
      <c r="D57" s="29" t="s">
        <v>61</v>
      </c>
      <c r="E57" s="28"/>
      <c r="F57" s="28"/>
      <c r="G57" s="28"/>
      <c r="H57" s="28"/>
      <c r="I57" s="28"/>
      <c r="J57"/>
    </row>
    <row r="58" spans="3:15" x14ac:dyDescent="0.25">
      <c r="C58" s="26">
        <f>7.3+0.0075*(C49-460)+0.0016*C51</f>
        <v>8.15</v>
      </c>
      <c r="D58" s="29" t="s">
        <v>62</v>
      </c>
      <c r="E58" s="28"/>
      <c r="F58" s="28"/>
      <c r="G58" s="28"/>
      <c r="H58" s="28"/>
      <c r="I58" s="28"/>
      <c r="J58"/>
    </row>
    <row r="59" spans="3:15" x14ac:dyDescent="0.25">
      <c r="C59" s="26">
        <f>1013+324*C58-4.256*C58^2</f>
        <v>3370.9058399999999</v>
      </c>
      <c r="D59" s="29" t="s">
        <v>63</v>
      </c>
      <c r="E59" s="28"/>
      <c r="F59" s="28"/>
      <c r="G59" s="28"/>
      <c r="H59" s="28"/>
      <c r="I59" s="28"/>
      <c r="J59"/>
    </row>
    <row r="60" spans="3:15" ht="18" x14ac:dyDescent="0.35">
      <c r="C60" s="26">
        <f>301+59.85*C58-0.971*C58^2</f>
        <v>724.28125250000005</v>
      </c>
      <c r="D60" s="29" t="s">
        <v>64</v>
      </c>
      <c r="E60" s="28"/>
      <c r="F60" s="28"/>
      <c r="G60" s="28"/>
      <c r="H60" s="28"/>
      <c r="I60" s="28"/>
      <c r="J60"/>
    </row>
    <row r="61" spans="3:15" x14ac:dyDescent="0.25">
      <c r="D61"/>
      <c r="E61"/>
      <c r="F61"/>
      <c r="G61"/>
      <c r="H61"/>
      <c r="I61"/>
      <c r="J61"/>
    </row>
    <row r="62" spans="3:15" x14ac:dyDescent="0.25">
      <c r="D62"/>
      <c r="E62" t="s">
        <v>65</v>
      </c>
      <c r="F62"/>
      <c r="G62"/>
      <c r="H62"/>
      <c r="I62"/>
      <c r="J62"/>
    </row>
    <row r="63" spans="3:15" x14ac:dyDescent="0.25">
      <c r="D63"/>
      <c r="E63"/>
      <c r="F63"/>
      <c r="G63"/>
      <c r="H63"/>
      <c r="I63"/>
      <c r="J63"/>
    </row>
    <row r="64" spans="3:15" x14ac:dyDescent="0.25">
      <c r="D64" s="67"/>
      <c r="E64" s="67"/>
      <c r="F64" s="67"/>
      <c r="G64" s="67"/>
      <c r="H64" s="67"/>
      <c r="I64" s="67"/>
      <c r="J64" s="67"/>
      <c r="K64" s="57" t="s">
        <v>66</v>
      </c>
      <c r="L64" s="57" t="s">
        <v>67</v>
      </c>
    </row>
    <row r="65" spans="4:12" ht="18" x14ac:dyDescent="0.25">
      <c r="D65" s="68" t="s">
        <v>2</v>
      </c>
      <c r="E65" s="68" t="s">
        <v>68</v>
      </c>
      <c r="F65" s="68" t="s">
        <v>69</v>
      </c>
      <c r="G65" s="68" t="s">
        <v>70</v>
      </c>
      <c r="H65" s="68" t="s">
        <v>71</v>
      </c>
      <c r="I65" s="68" t="s">
        <v>72</v>
      </c>
      <c r="J65" s="68" t="s">
        <v>73</v>
      </c>
      <c r="K65" s="68" t="s">
        <v>74</v>
      </c>
      <c r="L65" s="68" t="s">
        <v>74</v>
      </c>
    </row>
    <row r="66" spans="4:12" x14ac:dyDescent="0.25">
      <c r="D66" s="46" t="s">
        <v>6</v>
      </c>
      <c r="E66" s="64">
        <f>C184</f>
        <v>493</v>
      </c>
      <c r="F66" s="64">
        <f>D184</f>
        <v>227.6</v>
      </c>
      <c r="G66" s="65">
        <f>E184</f>
        <v>0.04</v>
      </c>
      <c r="H66" s="46">
        <f t="shared" ref="H66:H76" si="16">C121</f>
        <v>470</v>
      </c>
      <c r="I66" s="62">
        <f t="shared" ref="I66:I76" si="17">D121</f>
        <v>109</v>
      </c>
      <c r="J66" s="65">
        <f>H66*(1/I66-1/($C$49))</f>
        <v>3.0063710499490317</v>
      </c>
      <c r="K66" s="65">
        <f>(1/C51)*10^(C56+C57*J66)</f>
        <v>7.2337612237647049</v>
      </c>
      <c r="L66" s="65">
        <f>E66/$C$51*EXP(5.37*(1+G66)*(1-F66/$C$49))</f>
        <v>3.8447909354864396</v>
      </c>
    </row>
    <row r="67" spans="4:12" x14ac:dyDescent="0.25">
      <c r="D67" s="46" t="s">
        <v>7</v>
      </c>
      <c r="E67" s="64">
        <f>C183</f>
        <v>1071</v>
      </c>
      <c r="F67" s="64">
        <f>D183</f>
        <v>547.9</v>
      </c>
      <c r="G67" s="65">
        <f>E183</f>
        <v>0.22500000000000001</v>
      </c>
      <c r="H67" s="46">
        <f t="shared" si="16"/>
        <v>652</v>
      </c>
      <c r="I67" s="62">
        <f t="shared" si="17"/>
        <v>194</v>
      </c>
      <c r="J67" s="65">
        <f t="shared" ref="J67:J77" si="18">H67*(1/I67-1/($C$49))</f>
        <v>1.5497136311569299</v>
      </c>
      <c r="K67" s="65">
        <f t="shared" ref="K67:K77" si="19">1/$C$51*10^($C$56+$C$57*J67)</f>
        <v>0.72703252025972698</v>
      </c>
      <c r="L67" s="65">
        <f t="shared" ref="L67:L77" si="20">E67/$C$51*EXP(5.37*(1+G67)*(1-F67/$C$49))</f>
        <v>3.4565878632170019E-2</v>
      </c>
    </row>
    <row r="68" spans="4:12" x14ac:dyDescent="0.25">
      <c r="D68" s="46" t="s">
        <v>8</v>
      </c>
      <c r="E68" s="64">
        <v>1036</v>
      </c>
      <c r="F68" s="64">
        <v>672.6</v>
      </c>
      <c r="G68" s="65">
        <v>0.1105</v>
      </c>
      <c r="H68" s="46">
        <f t="shared" si="16"/>
        <v>1136</v>
      </c>
      <c r="I68" s="62">
        <f t="shared" si="17"/>
        <v>331</v>
      </c>
      <c r="J68" s="65">
        <f t="shared" si="18"/>
        <v>0.27646861362873437</v>
      </c>
      <c r="K68" s="65">
        <f t="shared" si="19"/>
        <v>9.758453574782093E-2</v>
      </c>
      <c r="L68" s="65">
        <f t="shared" si="20"/>
        <v>5.8410843023668484E-3</v>
      </c>
    </row>
    <row r="69" spans="4:12" x14ac:dyDescent="0.25">
      <c r="D69" s="46" t="s">
        <v>31</v>
      </c>
      <c r="E69" s="64">
        <f t="shared" ref="E69:E77" si="21">C185</f>
        <v>667.8</v>
      </c>
      <c r="F69" s="64">
        <f t="shared" ref="F69:F77" si="22">D185</f>
        <v>343.37</v>
      </c>
      <c r="G69" s="65">
        <f t="shared" ref="G69:G77" si="23">E185</f>
        <v>1.04E-2</v>
      </c>
      <c r="H69" s="46">
        <f t="shared" si="16"/>
        <v>300</v>
      </c>
      <c r="I69" s="62">
        <f t="shared" si="17"/>
        <v>94</v>
      </c>
      <c r="J69" s="65">
        <f t="shared" si="18"/>
        <v>2.3581560283687941</v>
      </c>
      <c r="K69" s="65">
        <f t="shared" si="19"/>
        <v>2.6021772726535577</v>
      </c>
      <c r="L69" s="65">
        <f t="shared" si="20"/>
        <v>0.85802459236695738</v>
      </c>
    </row>
    <row r="70" spans="4:12" x14ac:dyDescent="0.25">
      <c r="D70" s="46" t="s">
        <v>75</v>
      </c>
      <c r="E70" s="64">
        <f t="shared" si="21"/>
        <v>707.8</v>
      </c>
      <c r="F70" s="64">
        <f t="shared" si="22"/>
        <v>550.09</v>
      </c>
      <c r="G70" s="65">
        <f t="shared" si="23"/>
        <v>9.8599999999999993E-2</v>
      </c>
      <c r="H70" s="46">
        <f t="shared" si="16"/>
        <v>1145</v>
      </c>
      <c r="I70" s="62">
        <f t="shared" si="17"/>
        <v>303</v>
      </c>
      <c r="J70" s="65">
        <f t="shared" si="18"/>
        <v>0.59832233223322329</v>
      </c>
      <c r="K70" s="65">
        <f t="shared" si="19"/>
        <v>0.16212530181405263</v>
      </c>
      <c r="L70" s="65">
        <f t="shared" si="20"/>
        <v>3.1408268849775572E-2</v>
      </c>
    </row>
    <row r="71" spans="4:12" x14ac:dyDescent="0.25">
      <c r="D71" s="46" t="s">
        <v>33</v>
      </c>
      <c r="E71" s="64">
        <f t="shared" si="21"/>
        <v>616.29999999999995</v>
      </c>
      <c r="F71" s="64">
        <f t="shared" si="22"/>
        <v>666.01</v>
      </c>
      <c r="G71" s="65">
        <f t="shared" si="23"/>
        <v>0.1542</v>
      </c>
      <c r="H71" s="46">
        <f t="shared" si="16"/>
        <v>1799</v>
      </c>
      <c r="I71" s="62">
        <f t="shared" si="17"/>
        <v>416</v>
      </c>
      <c r="J71" s="65">
        <f t="shared" si="18"/>
        <v>-0.67270299145299139</v>
      </c>
      <c r="K71" s="65">
        <f t="shared" si="19"/>
        <v>2.1837275381472666E-2</v>
      </c>
      <c r="L71" s="65">
        <f t="shared" si="20"/>
        <v>3.1747084133158152E-3</v>
      </c>
    </row>
    <row r="72" spans="4:12" x14ac:dyDescent="0.25">
      <c r="D72" s="46" t="s">
        <v>34</v>
      </c>
      <c r="E72" s="64">
        <f t="shared" si="21"/>
        <v>529.1</v>
      </c>
      <c r="F72" s="64">
        <f t="shared" si="22"/>
        <v>734.98</v>
      </c>
      <c r="G72" s="65">
        <f t="shared" si="23"/>
        <v>0.18479999999999999</v>
      </c>
      <c r="H72" s="46">
        <f t="shared" si="16"/>
        <v>2037</v>
      </c>
      <c r="I72" s="62">
        <f t="shared" si="17"/>
        <v>471</v>
      </c>
      <c r="J72" s="65">
        <f t="shared" si="18"/>
        <v>-1.3334925690021235</v>
      </c>
      <c r="K72" s="65">
        <f t="shared" si="19"/>
        <v>7.7011856024617343E-3</v>
      </c>
      <c r="L72" s="65">
        <f t="shared" si="20"/>
        <v>7.0051178842736107E-4</v>
      </c>
    </row>
    <row r="73" spans="4:12" x14ac:dyDescent="0.25">
      <c r="D73" s="46" t="s">
        <v>35</v>
      </c>
      <c r="E73" s="64">
        <f t="shared" si="21"/>
        <v>550.70000000000005</v>
      </c>
      <c r="F73" s="64">
        <f t="shared" si="22"/>
        <v>765.65</v>
      </c>
      <c r="G73" s="65">
        <f t="shared" si="23"/>
        <v>0.20100000000000001</v>
      </c>
      <c r="H73" s="46">
        <f t="shared" si="16"/>
        <v>2153</v>
      </c>
      <c r="I73" s="62">
        <f t="shared" si="17"/>
        <v>491</v>
      </c>
      <c r="J73" s="65">
        <f t="shared" si="18"/>
        <v>-1.5956268386512793</v>
      </c>
      <c r="K73" s="65">
        <f t="shared" si="19"/>
        <v>5.0932572906745091E-3</v>
      </c>
      <c r="L73" s="65">
        <f t="shared" si="20"/>
        <v>3.8442915873809715E-4</v>
      </c>
    </row>
    <row r="74" spans="4:12" x14ac:dyDescent="0.25">
      <c r="D74" s="46" t="s">
        <v>36</v>
      </c>
      <c r="E74" s="64">
        <f t="shared" si="21"/>
        <v>490.4</v>
      </c>
      <c r="F74" s="64">
        <f t="shared" si="22"/>
        <v>829.1</v>
      </c>
      <c r="G74" s="65">
        <f t="shared" si="23"/>
        <v>0.2223</v>
      </c>
      <c r="H74" s="46">
        <f t="shared" si="16"/>
        <v>2368</v>
      </c>
      <c r="I74" s="62">
        <f t="shared" si="17"/>
        <v>542</v>
      </c>
      <c r="J74" s="65">
        <f t="shared" si="18"/>
        <v>-2.2087740877408777</v>
      </c>
      <c r="K74" s="65">
        <f t="shared" si="19"/>
        <v>1.9363762615713402E-3</v>
      </c>
      <c r="L74" s="65">
        <f t="shared" si="20"/>
        <v>9.4636615554365312E-5</v>
      </c>
    </row>
    <row r="75" spans="4:12" x14ac:dyDescent="0.25">
      <c r="D75" s="46" t="s">
        <v>37</v>
      </c>
      <c r="E75" s="64">
        <f t="shared" si="21"/>
        <v>488.6</v>
      </c>
      <c r="F75" s="64">
        <f t="shared" si="22"/>
        <v>845.7</v>
      </c>
      <c r="G75" s="65">
        <f t="shared" si="23"/>
        <v>0.25390000000000001</v>
      </c>
      <c r="H75" s="46">
        <f t="shared" si="16"/>
        <v>2480</v>
      </c>
      <c r="I75" s="62">
        <f t="shared" si="17"/>
        <v>557</v>
      </c>
      <c r="J75" s="65">
        <f t="shared" si="18"/>
        <v>-2.4364651905046881</v>
      </c>
      <c r="K75" s="65">
        <f t="shared" si="19"/>
        <v>1.3521390158641134E-3</v>
      </c>
      <c r="L75" s="65">
        <f t="shared" si="20"/>
        <v>5.5410138936677558E-5</v>
      </c>
    </row>
    <row r="76" spans="4:12" x14ac:dyDescent="0.25">
      <c r="D76" s="46" t="s">
        <v>1</v>
      </c>
      <c r="E76" s="64">
        <f t="shared" si="21"/>
        <v>436.9</v>
      </c>
      <c r="F76" s="64">
        <f t="shared" si="22"/>
        <v>913.7</v>
      </c>
      <c r="G76" s="65">
        <f t="shared" si="23"/>
        <v>0.30070000000000002</v>
      </c>
      <c r="H76" s="46">
        <f t="shared" si="16"/>
        <v>2738</v>
      </c>
      <c r="I76" s="62">
        <f t="shared" si="17"/>
        <v>610</v>
      </c>
      <c r="J76" s="65">
        <f t="shared" si="18"/>
        <v>-3.1170309653916215</v>
      </c>
      <c r="K76" s="65">
        <f t="shared" si="19"/>
        <v>4.6220409480633544E-4</v>
      </c>
      <c r="L76" s="65">
        <f t="shared" si="20"/>
        <v>9.4358119351041691E-6</v>
      </c>
    </row>
    <row r="77" spans="4:12" x14ac:dyDescent="0.25">
      <c r="D77" s="46" t="s">
        <v>15</v>
      </c>
      <c r="E77" s="64">
        <f t="shared" si="21"/>
        <v>320.3</v>
      </c>
      <c r="F77" s="64">
        <f t="shared" si="22"/>
        <v>1139.4000000000001</v>
      </c>
      <c r="G77" s="65">
        <f t="shared" si="23"/>
        <v>0.50690000000000002</v>
      </c>
      <c r="H77" s="69">
        <f>C59</f>
        <v>3370.9058399999999</v>
      </c>
      <c r="I77" s="62">
        <f>C60</f>
        <v>724.28125250000005</v>
      </c>
      <c r="J77" s="65">
        <f t="shared" si="18"/>
        <v>-4.7094880354229547</v>
      </c>
      <c r="K77" s="65">
        <f t="shared" si="19"/>
        <v>3.749736029488429E-5</v>
      </c>
      <c r="L77" s="65">
        <f t="shared" si="20"/>
        <v>7.8890353859240611E-9</v>
      </c>
    </row>
    <row r="78" spans="4:12" x14ac:dyDescent="0.25">
      <c r="D78"/>
      <c r="E78"/>
      <c r="F78"/>
      <c r="G78"/>
      <c r="H78"/>
      <c r="I78"/>
      <c r="J78"/>
    </row>
    <row r="79" spans="4:12" x14ac:dyDescent="0.25">
      <c r="D79" s="7" t="s">
        <v>76</v>
      </c>
      <c r="E79"/>
      <c r="F79"/>
      <c r="G79"/>
      <c r="H79"/>
      <c r="I79"/>
      <c r="J79"/>
    </row>
    <row r="80" spans="4:12" x14ac:dyDescent="0.25">
      <c r="D80"/>
      <c r="E80" t="s">
        <v>77</v>
      </c>
      <c r="F80"/>
      <c r="G80"/>
      <c r="H80"/>
      <c r="I80"/>
      <c r="J80"/>
    </row>
    <row r="81" spans="2:68" x14ac:dyDescent="0.25">
      <c r="D81"/>
      <c r="E81"/>
      <c r="F81"/>
      <c r="G81"/>
      <c r="H81"/>
      <c r="I81"/>
      <c r="J81"/>
    </row>
    <row r="82" spans="2:68" x14ac:dyDescent="0.25">
      <c r="B82" s="41"/>
      <c r="C82" s="45" t="s">
        <v>185</v>
      </c>
      <c r="D82" s="41"/>
      <c r="E82" s="46"/>
      <c r="F82" s="46"/>
      <c r="G82" s="46"/>
      <c r="H82" s="46"/>
      <c r="I82" s="46"/>
      <c r="J82" s="46"/>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row>
    <row r="83" spans="2:68" x14ac:dyDescent="0.25">
      <c r="B83" s="41" t="s">
        <v>183</v>
      </c>
      <c r="C83" s="42">
        <v>1E-3</v>
      </c>
      <c r="D83" s="42">
        <v>0.02</v>
      </c>
      <c r="E83" s="46">
        <v>0.04</v>
      </c>
      <c r="F83" s="46">
        <v>0.06</v>
      </c>
      <c r="G83" s="46">
        <v>0.08</v>
      </c>
      <c r="H83" s="46">
        <v>0.1</v>
      </c>
      <c r="I83" s="46">
        <v>0.12</v>
      </c>
      <c r="J83" s="46">
        <v>0.14000000000000001</v>
      </c>
      <c r="K83" s="46">
        <v>0.16</v>
      </c>
      <c r="L83" s="46">
        <v>0.18</v>
      </c>
      <c r="M83" s="46">
        <v>0.2</v>
      </c>
      <c r="N83" s="46">
        <v>0.22</v>
      </c>
      <c r="O83" s="46">
        <v>0.24</v>
      </c>
      <c r="P83" s="46">
        <v>0.26</v>
      </c>
      <c r="Q83" s="46">
        <v>0.28000000000000003</v>
      </c>
      <c r="R83" s="46">
        <v>0.3</v>
      </c>
      <c r="S83" s="46">
        <v>0.32</v>
      </c>
      <c r="T83" s="46">
        <v>0.34</v>
      </c>
      <c r="U83" s="46">
        <v>0.36</v>
      </c>
      <c r="V83" s="46">
        <v>0.38</v>
      </c>
      <c r="W83" s="46">
        <v>0.4</v>
      </c>
      <c r="X83" s="46">
        <v>0.42</v>
      </c>
      <c r="Y83" s="46">
        <v>0.44</v>
      </c>
      <c r="Z83" s="46">
        <v>0.46</v>
      </c>
      <c r="AA83" s="46">
        <v>0.48</v>
      </c>
      <c r="AB83" s="46">
        <v>0.5</v>
      </c>
      <c r="AC83" s="46">
        <v>0.52</v>
      </c>
      <c r="AD83" s="46">
        <v>0.54</v>
      </c>
      <c r="AE83" s="46">
        <v>0.56000000000000005</v>
      </c>
      <c r="AF83" s="46">
        <v>0.57999999999999996</v>
      </c>
      <c r="AG83" s="46">
        <v>0.6</v>
      </c>
      <c r="AH83" s="46">
        <v>0.62</v>
      </c>
      <c r="AI83" s="46">
        <v>0.64</v>
      </c>
      <c r="AJ83" s="46">
        <v>0.66</v>
      </c>
      <c r="AK83" s="46">
        <v>0.68</v>
      </c>
      <c r="AL83" s="46">
        <v>0.7</v>
      </c>
      <c r="AM83" s="46">
        <v>0.72</v>
      </c>
      <c r="AN83" s="46">
        <v>0.74</v>
      </c>
      <c r="AO83" s="46">
        <v>0.76</v>
      </c>
      <c r="AP83" s="46">
        <v>0.78</v>
      </c>
      <c r="AQ83" s="46">
        <v>0.8</v>
      </c>
      <c r="AR83" s="46">
        <v>0.82</v>
      </c>
      <c r="AS83" s="46">
        <v>0.84</v>
      </c>
      <c r="AT83" s="46">
        <v>0.86</v>
      </c>
      <c r="AU83" s="46">
        <v>0.88</v>
      </c>
      <c r="AV83" s="46">
        <v>0.9</v>
      </c>
      <c r="AW83" s="46">
        <v>0.91</v>
      </c>
      <c r="AX83" s="46">
        <v>0.92</v>
      </c>
      <c r="AY83" s="46">
        <v>0.93</v>
      </c>
      <c r="AZ83" s="46">
        <v>0.94</v>
      </c>
      <c r="BA83" s="46">
        <v>0.95</v>
      </c>
      <c r="BB83" s="42">
        <v>0.96</v>
      </c>
      <c r="BC83" s="42">
        <v>0.97</v>
      </c>
      <c r="BD83" s="42">
        <v>0.98</v>
      </c>
      <c r="BE83" s="42">
        <v>0.98499999999999999</v>
      </c>
      <c r="BF83" s="42">
        <v>0.99</v>
      </c>
      <c r="BG83" s="42">
        <v>0.99099999999999999</v>
      </c>
      <c r="BH83" s="42">
        <v>0.99199999999999999</v>
      </c>
      <c r="BI83" s="42">
        <v>0.99299999999999999</v>
      </c>
      <c r="BJ83" s="42">
        <v>0.99399999999999999</v>
      </c>
      <c r="BK83" s="42">
        <v>0.995</v>
      </c>
      <c r="BL83" s="42">
        <v>0.996</v>
      </c>
      <c r="BM83" s="42">
        <v>0.997</v>
      </c>
      <c r="BN83" s="42">
        <v>0.998</v>
      </c>
      <c r="BO83" s="42">
        <v>0.999</v>
      </c>
      <c r="BP83" s="42"/>
    </row>
    <row r="84" spans="2:68" x14ac:dyDescent="0.25">
      <c r="B84" s="41" t="s">
        <v>184</v>
      </c>
      <c r="C84" s="43">
        <f>IF((C99-$BP99)=0,C83,1)</f>
        <v>1</v>
      </c>
      <c r="D84" s="43">
        <f>IF((D99-$BP99)=0,D83,1)</f>
        <v>1</v>
      </c>
      <c r="E84" s="43">
        <f t="shared" ref="E84:AE84" si="24">IF((E99-$BP99)=0,E83,1)</f>
        <v>1</v>
      </c>
      <c r="F84" s="43">
        <f t="shared" si="24"/>
        <v>1</v>
      </c>
      <c r="G84" s="43">
        <f t="shared" si="24"/>
        <v>1</v>
      </c>
      <c r="H84" s="43">
        <f t="shared" si="24"/>
        <v>1</v>
      </c>
      <c r="I84" s="43">
        <f t="shared" si="24"/>
        <v>1</v>
      </c>
      <c r="J84" s="43">
        <f t="shared" si="24"/>
        <v>1</v>
      </c>
      <c r="K84" s="43">
        <f t="shared" si="24"/>
        <v>1</v>
      </c>
      <c r="L84" s="43">
        <f t="shared" si="24"/>
        <v>1</v>
      </c>
      <c r="M84" s="43">
        <f t="shared" si="24"/>
        <v>1</v>
      </c>
      <c r="N84" s="43">
        <f t="shared" si="24"/>
        <v>1</v>
      </c>
      <c r="O84" s="43">
        <f t="shared" si="24"/>
        <v>1</v>
      </c>
      <c r="P84" s="43">
        <f t="shared" si="24"/>
        <v>1</v>
      </c>
      <c r="Q84" s="43">
        <f t="shared" si="24"/>
        <v>1</v>
      </c>
      <c r="R84" s="43">
        <f t="shared" si="24"/>
        <v>1</v>
      </c>
      <c r="S84" s="43">
        <f t="shared" si="24"/>
        <v>1</v>
      </c>
      <c r="T84" s="43">
        <f t="shared" si="24"/>
        <v>1</v>
      </c>
      <c r="U84" s="43">
        <f t="shared" si="24"/>
        <v>1</v>
      </c>
      <c r="V84" s="43">
        <f t="shared" si="24"/>
        <v>1</v>
      </c>
      <c r="W84" s="43">
        <f t="shared" si="24"/>
        <v>1</v>
      </c>
      <c r="X84" s="43">
        <f t="shared" si="24"/>
        <v>1</v>
      </c>
      <c r="Y84" s="43">
        <f t="shared" si="24"/>
        <v>1</v>
      </c>
      <c r="Z84" s="43">
        <f t="shared" si="24"/>
        <v>1</v>
      </c>
      <c r="AA84" s="43">
        <f t="shared" si="24"/>
        <v>1</v>
      </c>
      <c r="AB84" s="43">
        <f t="shared" si="24"/>
        <v>1</v>
      </c>
      <c r="AC84" s="43">
        <f t="shared" si="24"/>
        <v>1</v>
      </c>
      <c r="AD84" s="43">
        <f t="shared" si="24"/>
        <v>1</v>
      </c>
      <c r="AE84" s="43">
        <f t="shared" si="24"/>
        <v>1</v>
      </c>
      <c r="AF84" s="43">
        <f t="shared" ref="AF84:BO84" si="25">IF((AF99-$BP99)=0,AF83,1)</f>
        <v>1</v>
      </c>
      <c r="AG84" s="43">
        <f t="shared" si="25"/>
        <v>1</v>
      </c>
      <c r="AH84" s="43">
        <f t="shared" si="25"/>
        <v>1</v>
      </c>
      <c r="AI84" s="43">
        <f t="shared" si="25"/>
        <v>1</v>
      </c>
      <c r="AJ84" s="43">
        <f t="shared" si="25"/>
        <v>1</v>
      </c>
      <c r="AK84" s="43">
        <f t="shared" si="25"/>
        <v>1</v>
      </c>
      <c r="AL84" s="43">
        <f t="shared" si="25"/>
        <v>1</v>
      </c>
      <c r="AM84" s="43">
        <f t="shared" si="25"/>
        <v>1</v>
      </c>
      <c r="AN84" s="43">
        <f t="shared" si="25"/>
        <v>0.74</v>
      </c>
      <c r="AO84" s="43">
        <f t="shared" si="25"/>
        <v>1</v>
      </c>
      <c r="AP84" s="43">
        <f t="shared" si="25"/>
        <v>1</v>
      </c>
      <c r="AQ84" s="43">
        <f t="shared" si="25"/>
        <v>1</v>
      </c>
      <c r="AR84" s="43">
        <f t="shared" si="25"/>
        <v>1</v>
      </c>
      <c r="AS84" s="43">
        <f t="shared" si="25"/>
        <v>1</v>
      </c>
      <c r="AT84" s="43">
        <f t="shared" si="25"/>
        <v>1</v>
      </c>
      <c r="AU84" s="43">
        <f t="shared" si="25"/>
        <v>1</v>
      </c>
      <c r="AV84" s="43">
        <f t="shared" si="25"/>
        <v>1</v>
      </c>
      <c r="AW84" s="43">
        <f t="shared" si="25"/>
        <v>1</v>
      </c>
      <c r="AX84" s="43">
        <f t="shared" si="25"/>
        <v>1</v>
      </c>
      <c r="AY84" s="43">
        <f t="shared" si="25"/>
        <v>1</v>
      </c>
      <c r="AZ84" s="43">
        <f t="shared" si="25"/>
        <v>1</v>
      </c>
      <c r="BA84" s="43">
        <f t="shared" si="25"/>
        <v>1</v>
      </c>
      <c r="BB84" s="43">
        <f t="shared" si="25"/>
        <v>1</v>
      </c>
      <c r="BC84" s="43">
        <f t="shared" si="25"/>
        <v>1</v>
      </c>
      <c r="BD84" s="43">
        <f t="shared" si="25"/>
        <v>1</v>
      </c>
      <c r="BE84" s="43">
        <f t="shared" si="25"/>
        <v>1</v>
      </c>
      <c r="BF84" s="43">
        <f t="shared" si="25"/>
        <v>1</v>
      </c>
      <c r="BG84" s="43">
        <f t="shared" si="25"/>
        <v>1</v>
      </c>
      <c r="BH84" s="43">
        <f t="shared" si="25"/>
        <v>1</v>
      </c>
      <c r="BI84" s="43">
        <f t="shared" si="25"/>
        <v>1</v>
      </c>
      <c r="BJ84" s="43">
        <f t="shared" si="25"/>
        <v>1</v>
      </c>
      <c r="BK84" s="43">
        <f t="shared" si="25"/>
        <v>1</v>
      </c>
      <c r="BL84" s="43">
        <f t="shared" si="25"/>
        <v>1</v>
      </c>
      <c r="BM84" s="43">
        <f t="shared" si="25"/>
        <v>1</v>
      </c>
      <c r="BN84" s="43">
        <f t="shared" si="25"/>
        <v>1</v>
      </c>
      <c r="BO84" s="43">
        <f t="shared" si="25"/>
        <v>1</v>
      </c>
      <c r="BP84" s="41"/>
    </row>
    <row r="85" spans="2:68" ht="60" x14ac:dyDescent="0.25">
      <c r="B85" s="41"/>
      <c r="C85" s="44" t="s">
        <v>26</v>
      </c>
      <c r="D85" s="44" t="s">
        <v>26</v>
      </c>
      <c r="E85" s="44" t="s">
        <v>26</v>
      </c>
      <c r="F85" s="44" t="s">
        <v>26</v>
      </c>
      <c r="G85" s="44" t="s">
        <v>26</v>
      </c>
      <c r="H85" s="44" t="s">
        <v>26</v>
      </c>
      <c r="I85" s="44" t="s">
        <v>26</v>
      </c>
      <c r="J85" s="44" t="s">
        <v>26</v>
      </c>
      <c r="K85" s="44" t="s">
        <v>26</v>
      </c>
      <c r="L85" s="44" t="s">
        <v>26</v>
      </c>
      <c r="M85" s="44" t="s">
        <v>26</v>
      </c>
      <c r="N85" s="44" t="s">
        <v>26</v>
      </c>
      <c r="O85" s="44" t="s">
        <v>26</v>
      </c>
      <c r="P85" s="44" t="s">
        <v>26</v>
      </c>
      <c r="Q85" s="44" t="s">
        <v>26</v>
      </c>
      <c r="R85" s="44" t="s">
        <v>26</v>
      </c>
      <c r="S85" s="44" t="s">
        <v>26</v>
      </c>
      <c r="T85" s="44" t="s">
        <v>26</v>
      </c>
      <c r="U85" s="44" t="s">
        <v>26</v>
      </c>
      <c r="V85" s="44" t="s">
        <v>26</v>
      </c>
      <c r="W85" s="44" t="s">
        <v>26</v>
      </c>
      <c r="X85" s="44" t="s">
        <v>26</v>
      </c>
      <c r="Y85" s="44" t="s">
        <v>26</v>
      </c>
      <c r="Z85" s="44" t="s">
        <v>26</v>
      </c>
      <c r="AA85" s="44" t="s">
        <v>26</v>
      </c>
      <c r="AB85" s="44" t="s">
        <v>26</v>
      </c>
      <c r="AC85" s="44" t="s">
        <v>26</v>
      </c>
      <c r="AD85" s="44" t="s">
        <v>26</v>
      </c>
      <c r="AE85" s="44" t="s">
        <v>26</v>
      </c>
      <c r="AF85" s="44" t="s">
        <v>26</v>
      </c>
      <c r="AG85" s="44" t="s">
        <v>26</v>
      </c>
      <c r="AH85" s="44" t="s">
        <v>26</v>
      </c>
      <c r="AI85" s="44" t="s">
        <v>26</v>
      </c>
      <c r="AJ85" s="44" t="s">
        <v>26</v>
      </c>
      <c r="AK85" s="44" t="s">
        <v>26</v>
      </c>
      <c r="AL85" s="44" t="s">
        <v>26</v>
      </c>
      <c r="AM85" s="44" t="s">
        <v>26</v>
      </c>
      <c r="AN85" s="44" t="s">
        <v>26</v>
      </c>
      <c r="AO85" s="44" t="s">
        <v>26</v>
      </c>
      <c r="AP85" s="44" t="s">
        <v>26</v>
      </c>
      <c r="AQ85" s="44" t="s">
        <v>26</v>
      </c>
      <c r="AR85" s="44" t="s">
        <v>26</v>
      </c>
      <c r="AS85" s="44" t="s">
        <v>26</v>
      </c>
      <c r="AT85" s="44" t="s">
        <v>26</v>
      </c>
      <c r="AU85" s="44" t="s">
        <v>26</v>
      </c>
      <c r="AV85" s="44" t="s">
        <v>26</v>
      </c>
      <c r="AW85" s="44" t="s">
        <v>26</v>
      </c>
      <c r="AX85" s="44" t="s">
        <v>26</v>
      </c>
      <c r="AY85" s="44" t="s">
        <v>26</v>
      </c>
      <c r="AZ85" s="44" t="s">
        <v>26</v>
      </c>
      <c r="BA85" s="44" t="s">
        <v>26</v>
      </c>
      <c r="BB85" s="44" t="s">
        <v>26</v>
      </c>
      <c r="BC85" s="44" t="s">
        <v>26</v>
      </c>
      <c r="BD85" s="44" t="s">
        <v>26</v>
      </c>
      <c r="BE85" s="44" t="s">
        <v>26</v>
      </c>
      <c r="BF85" s="44" t="s">
        <v>26</v>
      </c>
      <c r="BG85" s="44" t="s">
        <v>26</v>
      </c>
      <c r="BH85" s="44" t="s">
        <v>26</v>
      </c>
      <c r="BI85" s="44" t="s">
        <v>26</v>
      </c>
      <c r="BJ85" s="44" t="s">
        <v>26</v>
      </c>
      <c r="BK85" s="44" t="s">
        <v>26</v>
      </c>
      <c r="BL85" s="44" t="s">
        <v>26</v>
      </c>
      <c r="BM85" s="44" t="s">
        <v>26</v>
      </c>
      <c r="BN85" s="44" t="s">
        <v>26</v>
      </c>
      <c r="BO85" s="44" t="s">
        <v>26</v>
      </c>
      <c r="BP85" s="41"/>
    </row>
    <row r="86" spans="2:68" x14ac:dyDescent="0.25">
      <c r="B86" s="46" t="s">
        <v>6</v>
      </c>
      <c r="C86" s="41">
        <f t="shared" ref="C86:AH86" si="26">$E14*($C14-1)/(1+C$83*($C14-1))</f>
        <v>7.4279754817645843E-2</v>
      </c>
      <c r="D86" s="41">
        <f t="shared" si="26"/>
        <v>6.6457227336726765E-2</v>
      </c>
      <c r="E86" s="41">
        <f t="shared" si="26"/>
        <v>5.9825325340636185E-2</v>
      </c>
      <c r="F86" s="41">
        <f t="shared" si="26"/>
        <v>5.4396943607743005E-2</v>
      </c>
      <c r="G86" s="41">
        <f t="shared" si="26"/>
        <v>4.9871723689236973E-2</v>
      </c>
      <c r="H86" s="41">
        <f t="shared" si="26"/>
        <v>4.6041577206102038E-2</v>
      </c>
      <c r="I86" s="41">
        <f t="shared" si="26"/>
        <v>4.2757781233114453E-2</v>
      </c>
      <c r="J86" s="41">
        <f t="shared" si="26"/>
        <v>3.991121726861295E-2</v>
      </c>
      <c r="K86" s="41">
        <f t="shared" si="26"/>
        <v>3.7420010951234157E-2</v>
      </c>
      <c r="L86" s="41">
        <f t="shared" si="26"/>
        <v>3.5221528888315125E-2</v>
      </c>
      <c r="M86" s="41">
        <f t="shared" si="26"/>
        <v>3.3267040123134597E-2</v>
      </c>
      <c r="N86" s="41">
        <f t="shared" si="26"/>
        <v>3.1518061607536056E-2</v>
      </c>
      <c r="O86" s="41">
        <f t="shared" si="26"/>
        <v>2.9943798891559664E-2</v>
      </c>
      <c r="P86" s="41">
        <f t="shared" si="26"/>
        <v>2.8519317319674893E-2</v>
      </c>
      <c r="Q86" s="41">
        <f t="shared" si="26"/>
        <v>2.722421151966286E-2</v>
      </c>
      <c r="R86" s="41">
        <f t="shared" si="26"/>
        <v>2.6041621667149892E-2</v>
      </c>
      <c r="S86" s="41">
        <f t="shared" si="26"/>
        <v>2.4957495470642663E-2</v>
      </c>
      <c r="T86" s="41">
        <f t="shared" si="26"/>
        <v>2.3960027132629201E-2</v>
      </c>
      <c r="U86" s="41">
        <f t="shared" si="26"/>
        <v>2.3039225677503675E-2</v>
      </c>
      <c r="V86" s="41">
        <f t="shared" si="26"/>
        <v>2.2186579132635317E-2</v>
      </c>
      <c r="W86" s="41">
        <f t="shared" si="26"/>
        <v>2.1394790617117646E-2</v>
      </c>
      <c r="X86" s="41">
        <f t="shared" si="26"/>
        <v>2.0657568993635588E-2</v>
      </c>
      <c r="Y86" s="41">
        <f t="shared" si="26"/>
        <v>1.9969461360894281E-2</v>
      </c>
      <c r="Z86" s="41">
        <f t="shared" si="26"/>
        <v>1.932571794508782E-2</v>
      </c>
      <c r="AA86" s="41">
        <f t="shared" si="26"/>
        <v>1.8722182307730501E-2</v>
      </c>
      <c r="AB86" s="41">
        <f t="shared" si="26"/>
        <v>1.8155201503102205E-2</v>
      </c>
      <c r="AC86" s="41">
        <f t="shared" si="26"/>
        <v>1.7621552080550412E-2</v>
      </c>
      <c r="AD86" s="41">
        <f t="shared" si="26"/>
        <v>1.7118378764563187E-2</v>
      </c>
      <c r="AE86" s="41">
        <f t="shared" si="26"/>
        <v>1.6643143348917339E-2</v>
      </c>
      <c r="AF86" s="41">
        <f t="shared" si="26"/>
        <v>1.6193581873596742E-2</v>
      </c>
      <c r="AG86" s="41">
        <f t="shared" si="26"/>
        <v>1.5767668559543844E-2</v>
      </c>
      <c r="AH86" s="41">
        <f t="shared" si="26"/>
        <v>1.5363585288947665E-2</v>
      </c>
      <c r="AI86" s="41">
        <f t="shared" ref="AI86:BO86" si="27">$E14*($C14-1)/(1+AI$83*($C14-1))</f>
        <v>1.4979695661104691E-2</v>
      </c>
      <c r="AJ86" s="41">
        <f t="shared" si="27"/>
        <v>1.4614522843054289E-2</v>
      </c>
      <c r="AK86" s="41">
        <f t="shared" si="27"/>
        <v>1.4266730582839756E-2</v>
      </c>
      <c r="AL86" s="41">
        <f t="shared" si="27"/>
        <v>1.3935106870798455E-2</v>
      </c>
      <c r="AM86" s="41">
        <f t="shared" si="27"/>
        <v>1.3618549827803075E-2</v>
      </c>
      <c r="AN86" s="41">
        <f t="shared" si="27"/>
        <v>1.3316055474199773E-2</v>
      </c>
      <c r="AO86" s="41">
        <f t="shared" si="27"/>
        <v>1.3026707093379762E-2</v>
      </c>
      <c r="AP86" s="41">
        <f t="shared" si="27"/>
        <v>1.2749665952591038E-2</v>
      </c>
      <c r="AQ86" s="41">
        <f t="shared" si="27"/>
        <v>1.2484163183145269E-2</v>
      </c>
      <c r="AR86" s="41">
        <f t="shared" si="27"/>
        <v>1.2229492654462394E-2</v>
      </c>
      <c r="AS86" s="41">
        <f t="shared" si="27"/>
        <v>1.1985004702873586E-2</v>
      </c>
      <c r="AT86" s="41">
        <f t="shared" si="27"/>
        <v>1.1750100597910786E-2</v>
      </c>
      <c r="AU86" s="41">
        <f t="shared" si="27"/>
        <v>1.1524227646845468E-2</v>
      </c>
      <c r="AV86" s="41">
        <f t="shared" si="27"/>
        <v>1.1306874853212747E-2</v>
      </c>
      <c r="AW86" s="41">
        <f t="shared" si="27"/>
        <v>1.1201244271744126E-2</v>
      </c>
      <c r="AX86" s="41">
        <f t="shared" si="27"/>
        <v>1.1097569057535613E-2</v>
      </c>
      <c r="AY86" s="41">
        <f t="shared" si="27"/>
        <v>1.0995795413710603E-2</v>
      </c>
      <c r="AZ86" s="41">
        <f t="shared" si="27"/>
        <v>1.0895871498901595E-2</v>
      </c>
      <c r="BA86" s="41">
        <f t="shared" si="27"/>
        <v>1.0797747339197257E-2</v>
      </c>
      <c r="BB86" s="41">
        <f t="shared" si="27"/>
        <v>1.0701374744804874E-2</v>
      </c>
      <c r="BC86" s="41">
        <f t="shared" si="27"/>
        <v>1.0606707231136133E-2</v>
      </c>
      <c r="BD86" s="41">
        <f t="shared" si="27"/>
        <v>1.0513699944044811E-2</v>
      </c>
      <c r="BE86" s="41">
        <f t="shared" si="27"/>
        <v>1.0467805296853899E-2</v>
      </c>
      <c r="BF86" s="41">
        <f t="shared" si="27"/>
        <v>1.0422309588963655E-2</v>
      </c>
      <c r="BG86" s="41">
        <f t="shared" si="27"/>
        <v>1.0413257862752203E-2</v>
      </c>
      <c r="BH86" s="41">
        <f t="shared" si="27"/>
        <v>1.0404221845659615E-2</v>
      </c>
      <c r="BI86" s="41">
        <f t="shared" si="27"/>
        <v>1.0395201496826977E-2</v>
      </c>
      <c r="BJ86" s="41">
        <f t="shared" si="27"/>
        <v>1.0386196775536953E-2</v>
      </c>
      <c r="BK86" s="41">
        <f t="shared" si="27"/>
        <v>1.0377207641213162E-2</v>
      </c>
      <c r="BL86" s="41">
        <f t="shared" si="27"/>
        <v>1.036823405341958E-2</v>
      </c>
      <c r="BM86" s="41">
        <f t="shared" si="27"/>
        <v>1.0359275971859932E-2</v>
      </c>
      <c r="BN86" s="41">
        <f t="shared" si="27"/>
        <v>1.0350333356377073E-2</v>
      </c>
      <c r="BO86" s="41">
        <f t="shared" si="27"/>
        <v>1.0341406166952416E-2</v>
      </c>
      <c r="BP86" s="41"/>
    </row>
    <row r="87" spans="2:68" x14ac:dyDescent="0.25">
      <c r="B87" s="46" t="s">
        <v>7</v>
      </c>
      <c r="C87" s="41">
        <f t="shared" ref="C87:AH87" si="28">$E15*($C15-1)/(1+C$83*($C15-1))</f>
        <v>-1.5175674989719674E-2</v>
      </c>
      <c r="D87" s="41">
        <f t="shared" si="28"/>
        <v>-1.5254813885971585E-2</v>
      </c>
      <c r="E87" s="41">
        <f t="shared" si="28"/>
        <v>-1.5339014610359941E-2</v>
      </c>
      <c r="F87" s="41">
        <f t="shared" si="28"/>
        <v>-1.5424150005207823E-2</v>
      </c>
      <c r="G87" s="41">
        <f t="shared" si="28"/>
        <v>-1.5510235720345189E-2</v>
      </c>
      <c r="H87" s="41">
        <f t="shared" si="28"/>
        <v>-1.5597287756944056E-2</v>
      </c>
      <c r="I87" s="41">
        <f t="shared" si="28"/>
        <v>-1.5685322477433802E-2</v>
      </c>
      <c r="J87" s="41">
        <f t="shared" si="28"/>
        <v>-1.5774356615754111E-2</v>
      </c>
      <c r="K87" s="41">
        <f t="shared" si="28"/>
        <v>-1.586440728795916E-2</v>
      </c>
      <c r="L87" s="41">
        <f t="shared" si="28"/>
        <v>-1.5955492003187063E-2</v>
      </c>
      <c r="M87" s="41">
        <f t="shared" si="28"/>
        <v>-1.6047628675009383E-2</v>
      </c>
      <c r="N87" s="41">
        <f t="shared" si="28"/>
        <v>-1.6140835633176195E-2</v>
      </c>
      <c r="O87" s="41">
        <f t="shared" si="28"/>
        <v>-1.6235131635772809E-2</v>
      </c>
      <c r="P87" s="41">
        <f t="shared" si="28"/>
        <v>-1.6330535881805129E-2</v>
      </c>
      <c r="Q87" s="41">
        <f t="shared" si="28"/>
        <v>-1.6427068024231384E-2</v>
      </c>
      <c r="R87" s="41">
        <f t="shared" si="28"/>
        <v>-1.6524748183458792E-2</v>
      </c>
      <c r="S87" s="41">
        <f t="shared" si="28"/>
        <v>-1.6623596961324646E-2</v>
      </c>
      <c r="T87" s="41">
        <f t="shared" si="28"/>
        <v>-1.6723635455582191E-2</v>
      </c>
      <c r="U87" s="41">
        <f t="shared" si="28"/>
        <v>-1.6824885274912754E-2</v>
      </c>
      <c r="V87" s="41">
        <f t="shared" si="28"/>
        <v>-1.6927368554486483E-2</v>
      </c>
      <c r="W87" s="41">
        <f t="shared" si="28"/>
        <v>-1.7031107972095304E-2</v>
      </c>
      <c r="X87" s="41">
        <f t="shared" si="28"/>
        <v>-1.7136126764882721E-2</v>
      </c>
      <c r="Y87" s="41">
        <f t="shared" si="28"/>
        <v>-1.7242448746696459E-2</v>
      </c>
      <c r="Z87" s="41">
        <f t="shared" si="28"/>
        <v>-1.7350098326091124E-2</v>
      </c>
      <c r="AA87" s="41">
        <f t="shared" si="28"/>
        <v>-1.7459100525009451E-2</v>
      </c>
      <c r="AB87" s="41">
        <f t="shared" si="28"/>
        <v>-1.7569480998172217E-2</v>
      </c>
      <c r="AC87" s="41">
        <f t="shared" si="28"/>
        <v>-1.7681266053208369E-2</v>
      </c>
      <c r="AD87" s="41">
        <f t="shared" si="28"/>
        <v>-1.7794482671558511E-2</v>
      </c>
      <c r="AE87" s="41">
        <f t="shared" si="28"/>
        <v>-1.7909158530186649E-2</v>
      </c>
      <c r="AF87" s="41">
        <f t="shared" si="28"/>
        <v>-1.8025322024136967E-2</v>
      </c>
      <c r="AG87" s="41">
        <f t="shared" si="28"/>
        <v>-1.8143002289974113E-2</v>
      </c>
      <c r="AH87" s="41">
        <f t="shared" si="28"/>
        <v>-1.8262229230147777E-2</v>
      </c>
      <c r="AI87" s="41">
        <f t="shared" ref="AI87:BO87" si="29">$E15*($C15-1)/(1+AI$83*($C15-1))</f>
        <v>-1.8383033538324232E-2</v>
      </c>
      <c r="AJ87" s="41">
        <f t="shared" si="29"/>
        <v>-1.8505446725730051E-2</v>
      </c>
      <c r="AK87" s="41">
        <f t="shared" si="29"/>
        <v>-1.8629501148555355E-2</v>
      </c>
      <c r="AL87" s="41">
        <f t="shared" si="29"/>
        <v>-1.8755230036466751E-2</v>
      </c>
      <c r="AM87" s="41">
        <f t="shared" si="29"/>
        <v>-1.8882667522282705E-2</v>
      </c>
      <c r="AN87" s="41">
        <f t="shared" si="29"/>
        <v>-1.9011848672866979E-2</v>
      </c>
      <c r="AO87" s="41">
        <f t="shared" si="29"/>
        <v>-1.9142809521298952E-2</v>
      </c>
      <c r="AP87" s="41">
        <f t="shared" si="29"/>
        <v>-1.9275587100382737E-2</v>
      </c>
      <c r="AQ87" s="41">
        <f t="shared" si="29"/>
        <v>-1.9410219477560591E-2</v>
      </c>
      <c r="AR87" s="41">
        <f t="shared" si="29"/>
        <v>-1.9546745791299783E-2</v>
      </c>
      <c r="AS87" s="41">
        <f t="shared" si="29"/>
        <v>-1.9685206289025904E-2</v>
      </c>
      <c r="AT87" s="41">
        <f t="shared" si="29"/>
        <v>-1.982564236667993E-2</v>
      </c>
      <c r="AU87" s="41">
        <f t="shared" si="29"/>
        <v>-1.9968096609980682E-2</v>
      </c>
      <c r="AV87" s="41">
        <f t="shared" si="29"/>
        <v>-2.0112612837479036E-2</v>
      </c>
      <c r="AW87" s="41">
        <f t="shared" si="29"/>
        <v>-2.0185658236720638E-2</v>
      </c>
      <c r="AX87" s="41">
        <f t="shared" si="29"/>
        <v>-2.0259236145495376E-2</v>
      </c>
      <c r="AY87" s="41">
        <f t="shared" si="29"/>
        <v>-2.0333352408191875E-2</v>
      </c>
      <c r="AZ87" s="41">
        <f t="shared" si="29"/>
        <v>-2.0408012955037091E-2</v>
      </c>
      <c r="BA87" s="41">
        <f t="shared" si="29"/>
        <v>-2.0483223803678036E-2</v>
      </c>
      <c r="BB87" s="41">
        <f t="shared" si="29"/>
        <v>-2.0558991060798615E-2</v>
      </c>
      <c r="BC87" s="41">
        <f t="shared" si="29"/>
        <v>-2.0635320923772443E-2</v>
      </c>
      <c r="BD87" s="41">
        <f t="shared" si="29"/>
        <v>-2.0712219682352692E-2</v>
      </c>
      <c r="BE87" s="41">
        <f t="shared" si="29"/>
        <v>-2.0750884388727509E-2</v>
      </c>
      <c r="BF87" s="41">
        <f t="shared" si="29"/>
        <v>-2.0789693720399786E-2</v>
      </c>
      <c r="BG87" s="41">
        <f t="shared" si="29"/>
        <v>-2.0797473013204802E-2</v>
      </c>
      <c r="BH87" s="41">
        <f t="shared" si="29"/>
        <v>-2.0805258130054256E-2</v>
      </c>
      <c r="BI87" s="41">
        <f t="shared" si="29"/>
        <v>-2.0813049077490934E-2</v>
      </c>
      <c r="BJ87" s="41">
        <f t="shared" si="29"/>
        <v>-2.0820845862067443E-2</v>
      </c>
      <c r="BK87" s="41">
        <f t="shared" si="29"/>
        <v>-2.0828648490346182E-2</v>
      </c>
      <c r="BL87" s="41">
        <f t="shared" si="29"/>
        <v>-2.0836456968899433E-2</v>
      </c>
      <c r="BM87" s="41">
        <f t="shared" si="29"/>
        <v>-2.0844271304309294E-2</v>
      </c>
      <c r="BN87" s="41">
        <f t="shared" si="29"/>
        <v>-2.0852091503167778E-2</v>
      </c>
      <c r="BO87" s="41">
        <f t="shared" si="29"/>
        <v>-2.0859917572076763E-2</v>
      </c>
      <c r="BP87" s="41"/>
    </row>
    <row r="88" spans="2:68" x14ac:dyDescent="0.25">
      <c r="B88" s="46" t="s">
        <v>8</v>
      </c>
      <c r="C88" s="41">
        <f t="shared" ref="C88:AH88" si="30">$E16*($C16-1)/(1+C$83*($C16-1))</f>
        <v>0</v>
      </c>
      <c r="D88" s="41">
        <f t="shared" si="30"/>
        <v>0</v>
      </c>
      <c r="E88" s="41">
        <f t="shared" si="30"/>
        <v>0</v>
      </c>
      <c r="F88" s="41">
        <f t="shared" si="30"/>
        <v>0</v>
      </c>
      <c r="G88" s="41">
        <f t="shared" si="30"/>
        <v>0</v>
      </c>
      <c r="H88" s="41">
        <f t="shared" si="30"/>
        <v>0</v>
      </c>
      <c r="I88" s="41">
        <f t="shared" si="30"/>
        <v>0</v>
      </c>
      <c r="J88" s="41">
        <f t="shared" si="30"/>
        <v>0</v>
      </c>
      <c r="K88" s="41">
        <f t="shared" si="30"/>
        <v>0</v>
      </c>
      <c r="L88" s="41">
        <f t="shared" si="30"/>
        <v>0</v>
      </c>
      <c r="M88" s="41">
        <f t="shared" si="30"/>
        <v>0</v>
      </c>
      <c r="N88" s="41">
        <f t="shared" si="30"/>
        <v>0</v>
      </c>
      <c r="O88" s="41">
        <f t="shared" si="30"/>
        <v>0</v>
      </c>
      <c r="P88" s="41">
        <f t="shared" si="30"/>
        <v>0</v>
      </c>
      <c r="Q88" s="41">
        <f t="shared" si="30"/>
        <v>0</v>
      </c>
      <c r="R88" s="41">
        <f t="shared" si="30"/>
        <v>0</v>
      </c>
      <c r="S88" s="41">
        <f t="shared" si="30"/>
        <v>0</v>
      </c>
      <c r="T88" s="41">
        <f t="shared" si="30"/>
        <v>0</v>
      </c>
      <c r="U88" s="41">
        <f t="shared" si="30"/>
        <v>0</v>
      </c>
      <c r="V88" s="41">
        <f t="shared" si="30"/>
        <v>0</v>
      </c>
      <c r="W88" s="41">
        <f t="shared" si="30"/>
        <v>0</v>
      </c>
      <c r="X88" s="41">
        <f t="shared" si="30"/>
        <v>0</v>
      </c>
      <c r="Y88" s="41">
        <f t="shared" si="30"/>
        <v>0</v>
      </c>
      <c r="Z88" s="41">
        <f t="shared" si="30"/>
        <v>0</v>
      </c>
      <c r="AA88" s="41">
        <f t="shared" si="30"/>
        <v>0</v>
      </c>
      <c r="AB88" s="41">
        <f t="shared" si="30"/>
        <v>0</v>
      </c>
      <c r="AC88" s="41">
        <f t="shared" si="30"/>
        <v>0</v>
      </c>
      <c r="AD88" s="41">
        <f t="shared" si="30"/>
        <v>0</v>
      </c>
      <c r="AE88" s="41">
        <f t="shared" si="30"/>
        <v>0</v>
      </c>
      <c r="AF88" s="41">
        <f t="shared" si="30"/>
        <v>0</v>
      </c>
      <c r="AG88" s="41">
        <f t="shared" si="30"/>
        <v>0</v>
      </c>
      <c r="AH88" s="41">
        <f t="shared" si="30"/>
        <v>0</v>
      </c>
      <c r="AI88" s="41">
        <f t="shared" ref="AI88:BO88" si="31">$E16*($C16-1)/(1+AI$83*($C16-1))</f>
        <v>0</v>
      </c>
      <c r="AJ88" s="41">
        <f t="shared" si="31"/>
        <v>0</v>
      </c>
      <c r="AK88" s="41">
        <f t="shared" si="31"/>
        <v>0</v>
      </c>
      <c r="AL88" s="41">
        <f t="shared" si="31"/>
        <v>0</v>
      </c>
      <c r="AM88" s="41">
        <f t="shared" si="31"/>
        <v>0</v>
      </c>
      <c r="AN88" s="41">
        <f t="shared" si="31"/>
        <v>0</v>
      </c>
      <c r="AO88" s="41">
        <f t="shared" si="31"/>
        <v>0</v>
      </c>
      <c r="AP88" s="41">
        <f t="shared" si="31"/>
        <v>0</v>
      </c>
      <c r="AQ88" s="41">
        <f t="shared" si="31"/>
        <v>0</v>
      </c>
      <c r="AR88" s="41">
        <f t="shared" si="31"/>
        <v>0</v>
      </c>
      <c r="AS88" s="41">
        <f t="shared" si="31"/>
        <v>0</v>
      </c>
      <c r="AT88" s="41">
        <f t="shared" si="31"/>
        <v>0</v>
      </c>
      <c r="AU88" s="41">
        <f t="shared" si="31"/>
        <v>0</v>
      </c>
      <c r="AV88" s="41">
        <f t="shared" si="31"/>
        <v>0</v>
      </c>
      <c r="AW88" s="41">
        <f t="shared" si="31"/>
        <v>0</v>
      </c>
      <c r="AX88" s="41">
        <f t="shared" si="31"/>
        <v>0</v>
      </c>
      <c r="AY88" s="41">
        <f t="shared" si="31"/>
        <v>0</v>
      </c>
      <c r="AZ88" s="41">
        <f t="shared" si="31"/>
        <v>0</v>
      </c>
      <c r="BA88" s="41">
        <f t="shared" si="31"/>
        <v>0</v>
      </c>
      <c r="BB88" s="41">
        <f t="shared" si="31"/>
        <v>0</v>
      </c>
      <c r="BC88" s="41">
        <f t="shared" si="31"/>
        <v>0</v>
      </c>
      <c r="BD88" s="41">
        <f t="shared" si="31"/>
        <v>0</v>
      </c>
      <c r="BE88" s="41">
        <f t="shared" si="31"/>
        <v>0</v>
      </c>
      <c r="BF88" s="41">
        <f t="shared" si="31"/>
        <v>0</v>
      </c>
      <c r="BG88" s="41">
        <f t="shared" si="31"/>
        <v>0</v>
      </c>
      <c r="BH88" s="41">
        <f t="shared" si="31"/>
        <v>0</v>
      </c>
      <c r="BI88" s="41">
        <f t="shared" si="31"/>
        <v>0</v>
      </c>
      <c r="BJ88" s="41">
        <f t="shared" si="31"/>
        <v>0</v>
      </c>
      <c r="BK88" s="41">
        <f t="shared" si="31"/>
        <v>0</v>
      </c>
      <c r="BL88" s="41">
        <f t="shared" si="31"/>
        <v>0</v>
      </c>
      <c r="BM88" s="41">
        <f t="shared" si="31"/>
        <v>0</v>
      </c>
      <c r="BN88" s="41">
        <f t="shared" si="31"/>
        <v>0</v>
      </c>
      <c r="BO88" s="41">
        <f t="shared" si="31"/>
        <v>0</v>
      </c>
      <c r="BP88" s="41"/>
    </row>
    <row r="89" spans="2:68" x14ac:dyDescent="0.25">
      <c r="B89" s="46" t="s">
        <v>31</v>
      </c>
      <c r="C89" s="41">
        <f t="shared" ref="C89:AH89" si="32">$E17*($C17-1)/(1+C$83*($C17-1))</f>
        <v>1.1970714413332431</v>
      </c>
      <c r="D89" s="41">
        <f t="shared" si="32"/>
        <v>1.1617623764740748</v>
      </c>
      <c r="E89" s="41">
        <f t="shared" si="32"/>
        <v>1.1267774717286243</v>
      </c>
      <c r="F89" s="41">
        <f t="shared" si="32"/>
        <v>1.0938380173121707</v>
      </c>
      <c r="G89" s="41">
        <f t="shared" si="32"/>
        <v>1.0627697223705728</v>
      </c>
      <c r="H89" s="41">
        <f t="shared" si="32"/>
        <v>1.0334175507008665</v>
      </c>
      <c r="I89" s="41">
        <f t="shared" si="32"/>
        <v>1.0056431332844709</v>
      </c>
      <c r="J89" s="41">
        <f t="shared" si="32"/>
        <v>0.97932258714866693</v>
      </c>
      <c r="K89" s="41">
        <f t="shared" si="32"/>
        <v>0.9543446680116664</v>
      </c>
      <c r="L89" s="41">
        <f t="shared" si="32"/>
        <v>0.93060919860063873</v>
      </c>
      <c r="M89" s="41">
        <f t="shared" si="32"/>
        <v>0.90802572581362251</v>
      </c>
      <c r="N89" s="41">
        <f t="shared" si="32"/>
        <v>0.88651236877220763</v>
      </c>
      <c r="O89" s="41">
        <f t="shared" si="32"/>
        <v>0.86599482683900719</v>
      </c>
      <c r="P89" s="41">
        <f t="shared" si="32"/>
        <v>0.84640552227044519</v>
      </c>
      <c r="Q89" s="41">
        <f t="shared" si="32"/>
        <v>0.82768285665773222</v>
      </c>
      <c r="R89" s="41">
        <f t="shared" si="32"/>
        <v>0.80977056391820768</v>
      </c>
      <c r="S89" s="41">
        <f t="shared" si="32"/>
        <v>0.79261714552041762</v>
      </c>
      <c r="T89" s="41">
        <f t="shared" si="32"/>
        <v>0.77617537600214259</v>
      </c>
      <c r="U89" s="41">
        <f t="shared" si="32"/>
        <v>0.76040186878187133</v>
      </c>
      <c r="V89" s="41">
        <f t="shared" si="32"/>
        <v>0.74525669385753202</v>
      </c>
      <c r="W89" s="41">
        <f t="shared" si="32"/>
        <v>0.73070304029956312</v>
      </c>
      <c r="X89" s="41">
        <f t="shared" si="32"/>
        <v>0.71670691753228666</v>
      </c>
      <c r="Y89" s="41">
        <f t="shared" si="32"/>
        <v>0.70323689030058156</v>
      </c>
      <c r="Z89" s="41">
        <f t="shared" si="32"/>
        <v>0.69026384297196453</v>
      </c>
      <c r="AA89" s="41">
        <f t="shared" si="32"/>
        <v>0.67776076945451125</v>
      </c>
      <c r="AB89" s="41">
        <f t="shared" si="32"/>
        <v>0.66570258554046657</v>
      </c>
      <c r="AC89" s="41">
        <f t="shared" si="32"/>
        <v>0.65406596093149727</v>
      </c>
      <c r="AD89" s="41">
        <f t="shared" si="32"/>
        <v>0.64282916857868866</v>
      </c>
      <c r="AE89" s="41">
        <f t="shared" si="32"/>
        <v>0.63197194929019351</v>
      </c>
      <c r="AF89" s="41">
        <f t="shared" si="32"/>
        <v>0.62147538983144668</v>
      </c>
      <c r="AG89" s="41">
        <f t="shared" si="32"/>
        <v>0.61132181297486821</v>
      </c>
      <c r="AH89" s="41">
        <f t="shared" si="32"/>
        <v>0.6014946781544207</v>
      </c>
      <c r="AI89" s="41">
        <f t="shared" ref="AI89:BO89" si="33">$E17*($C17-1)/(1+AI$83*($C17-1))</f>
        <v>0.59197849155057092</v>
      </c>
      <c r="AJ89" s="41">
        <f t="shared" si="33"/>
        <v>0.58275872457754085</v>
      </c>
      <c r="AK89" s="41">
        <f t="shared" si="33"/>
        <v>0.57382173987086593</v>
      </c>
      <c r="AL89" s="41">
        <f t="shared" si="33"/>
        <v>0.56515472398226463</v>
      </c>
      <c r="AM89" s="41">
        <f t="shared" si="33"/>
        <v>0.55674562608322287</v>
      </c>
      <c r="AN89" s="41">
        <f t="shared" si="33"/>
        <v>0.54858310206062855</v>
      </c>
      <c r="AO89" s="41">
        <f t="shared" si="33"/>
        <v>0.54065646345907825</v>
      </c>
      <c r="AP89" s="41">
        <f t="shared" si="33"/>
        <v>0.53295563078662012</v>
      </c>
      <c r="AQ89" s="41">
        <f t="shared" si="33"/>
        <v>0.52547109075499165</v>
      </c>
      <c r="AR89" s="41">
        <f t="shared" si="33"/>
        <v>0.5181938570729272</v>
      </c>
      <c r="AS89" s="41">
        <f t="shared" si="33"/>
        <v>0.51111543445280028</v>
      </c>
      <c r="AT89" s="41">
        <f t="shared" si="33"/>
        <v>0.50422778552748315</v>
      </c>
      <c r="AU89" s="41">
        <f t="shared" si="33"/>
        <v>0.49752330040655512</v>
      </c>
      <c r="AV89" s="41">
        <f t="shared" si="33"/>
        <v>0.49099476862942243</v>
      </c>
      <c r="AW89" s="41">
        <f t="shared" si="33"/>
        <v>0.48779433478766643</v>
      </c>
      <c r="AX89" s="41">
        <f t="shared" si="33"/>
        <v>0.48463535329803459</v>
      </c>
      <c r="AY89" s="41">
        <f t="shared" si="33"/>
        <v>0.48151702399964358</v>
      </c>
      <c r="AZ89" s="41">
        <f t="shared" si="33"/>
        <v>0.47843856719411199</v>
      </c>
      <c r="BA89" s="41">
        <f t="shared" si="33"/>
        <v>0.47539922299560572</v>
      </c>
      <c r="BB89" s="41">
        <f t="shared" si="33"/>
        <v>0.47239825070550245</v>
      </c>
      <c r="BC89" s="41">
        <f t="shared" si="33"/>
        <v>0.4694349282105903</v>
      </c>
      <c r="BD89" s="41">
        <f t="shared" si="33"/>
        <v>0.46650855140377723</v>
      </c>
      <c r="BE89" s="41">
        <f t="shared" si="33"/>
        <v>0.46505900238580244</v>
      </c>
      <c r="BF89" s="41">
        <f t="shared" si="33"/>
        <v>0.46361843362633209</v>
      </c>
      <c r="BG89" s="41">
        <f t="shared" si="33"/>
        <v>0.46333139016624153</v>
      </c>
      <c r="BH89" s="41">
        <f t="shared" si="33"/>
        <v>0.46304470192484115</v>
      </c>
      <c r="BI89" s="41">
        <f t="shared" si="33"/>
        <v>0.46275836824315963</v>
      </c>
      <c r="BJ89" s="41">
        <f t="shared" si="33"/>
        <v>0.46247238846385441</v>
      </c>
      <c r="BK89" s="41">
        <f t="shared" si="33"/>
        <v>0.462186761931207</v>
      </c>
      <c r="BL89" s="41">
        <f t="shared" si="33"/>
        <v>0.46190148799111769</v>
      </c>
      <c r="BM89" s="41">
        <f t="shared" si="33"/>
        <v>0.46161656599110085</v>
      </c>
      <c r="BN89" s="41">
        <f t="shared" si="33"/>
        <v>0.46133199528027957</v>
      </c>
      <c r="BO89" s="41">
        <f t="shared" si="33"/>
        <v>0.46104777520938106</v>
      </c>
      <c r="BP89" s="41"/>
    </row>
    <row r="90" spans="2:68" x14ac:dyDescent="0.25">
      <c r="B90" s="46" t="s">
        <v>32</v>
      </c>
      <c r="C90" s="41">
        <f t="shared" ref="C90:AH90" si="34">$E18*($C18-1)/(1+C$83*($C18-1))</f>
        <v>-8.6926925085075199E-2</v>
      </c>
      <c r="D90" s="41">
        <f t="shared" si="34"/>
        <v>-8.833435361138714E-2</v>
      </c>
      <c r="E90" s="41">
        <f t="shared" si="34"/>
        <v>-8.9865947354633616E-2</v>
      </c>
      <c r="F90" s="41">
        <f t="shared" si="34"/>
        <v>-9.1451589595829136E-2</v>
      </c>
      <c r="G90" s="41">
        <f t="shared" si="34"/>
        <v>-9.309419270307133E-2</v>
      </c>
      <c r="H90" s="41">
        <f t="shared" si="34"/>
        <v>-9.4796882112885589E-2</v>
      </c>
      <c r="I90" s="41">
        <f t="shared" si="34"/>
        <v>-9.6563016178314962E-2</v>
      </c>
      <c r="J90" s="41">
        <f t="shared" si="34"/>
        <v>-9.8396208277835989E-2</v>
      </c>
      <c r="K90" s="41">
        <f t="shared" si="34"/>
        <v>-0.10030035149135785</v>
      </c>
      <c r="L90" s="41">
        <f t="shared" si="34"/>
        <v>-0.10227964619791045</v>
      </c>
      <c r="M90" s="41">
        <f t="shared" si="34"/>
        <v>-0.1043386310067361</v>
      </c>
      <c r="N90" s="41">
        <f t="shared" si="34"/>
        <v>-0.10648221750116658</v>
      </c>
      <c r="O90" s="41">
        <f t="shared" si="34"/>
        <v>-0.10871572935511002</v>
      </c>
      <c r="P90" s="41">
        <f t="shared" si="34"/>
        <v>-0.11104494647792436</v>
      </c>
      <c r="Q90" s="41">
        <f t="shared" si="34"/>
        <v>-0.1134761549583154</v>
      </c>
      <c r="R90" s="41">
        <f t="shared" si="34"/>
        <v>-0.11601620371589605</v>
      </c>
      <c r="S90" s="41">
        <f t="shared" si="34"/>
        <v>-0.11867256893548074</v>
      </c>
      <c r="T90" s="41">
        <f t="shared" si="34"/>
        <v>-0.12145342756072688</v>
      </c>
      <c r="U90" s="41">
        <f t="shared" si="34"/>
        <v>-0.1243677413687968</v>
      </c>
      <c r="V90" s="41">
        <f t="shared" si="34"/>
        <v>-0.12742535344699937</v>
      </c>
      <c r="W90" s="41">
        <f t="shared" si="34"/>
        <v>-0.13063709925954783</v>
      </c>
      <c r="X90" s="41">
        <f t="shared" si="34"/>
        <v>-0.13401493494519262</v>
      </c>
      <c r="Y90" s="41">
        <f t="shared" si="34"/>
        <v>-0.13757208604723678</v>
      </c>
      <c r="Z90" s="41">
        <f t="shared" si="34"/>
        <v>-0.14132322057579672</v>
      </c>
      <c r="AA90" s="41">
        <f t="shared" si="34"/>
        <v>-0.14528465117670808</v>
      </c>
      <c r="AB90" s="41">
        <f t="shared" si="34"/>
        <v>-0.14947457228300243</v>
      </c>
      <c r="AC90" s="41">
        <f t="shared" si="34"/>
        <v>-0.15391333952080305</v>
      </c>
      <c r="AD90" s="41">
        <f t="shared" si="34"/>
        <v>-0.15862380042190607</v>
      </c>
      <c r="AE90" s="41">
        <f t="shared" si="34"/>
        <v>-0.16363168778161483</v>
      </c>
      <c r="AF90" s="41">
        <f t="shared" si="34"/>
        <v>-0.16896608995749857</v>
      </c>
      <c r="AG90" s="41">
        <f t="shared" si="34"/>
        <v>-0.17466001625870373</v>
      </c>
      <c r="AH90" s="41">
        <f t="shared" si="34"/>
        <v>-0.18075108063902207</v>
      </c>
      <c r="AI90" s="41">
        <f t="shared" ref="AI90:BO90" si="35">$E18*($C18-1)/(1+AI$83*($C18-1))</f>
        <v>-0.18728233361720209</v>
      </c>
      <c r="AJ90" s="41">
        <f t="shared" si="35"/>
        <v>-0.19430328132229957</v>
      </c>
      <c r="AK90" s="41">
        <f t="shared" si="35"/>
        <v>-0.2018711426820135</v>
      </c>
      <c r="AL90" s="41">
        <f t="shared" si="35"/>
        <v>-0.21005241231286659</v>
      </c>
      <c r="AM90" s="41">
        <f t="shared" si="35"/>
        <v>-0.21892481950004453</v>
      </c>
      <c r="AN90" s="41">
        <f t="shared" si="35"/>
        <v>-0.22857980554485702</v>
      </c>
      <c r="AO90" s="41">
        <f t="shared" si="35"/>
        <v>-0.23912568688964084</v>
      </c>
      <c r="AP90" s="41">
        <f t="shared" si="35"/>
        <v>-0.25069173620825064</v>
      </c>
      <c r="AQ90" s="41">
        <f t="shared" si="35"/>
        <v>-0.26343350806068427</v>
      </c>
      <c r="AR90" s="41">
        <f t="shared" si="35"/>
        <v>-0.27753987562027821</v>
      </c>
      <c r="AS90" s="41">
        <f t="shared" si="35"/>
        <v>-0.29324245613387673</v>
      </c>
      <c r="AT90" s="41">
        <f t="shared" si="35"/>
        <v>-0.31082842789382598</v>
      </c>
      <c r="AU90" s="41">
        <f t="shared" si="35"/>
        <v>-0.3306582532924382</v>
      </c>
      <c r="AV90" s="41">
        <f t="shared" si="35"/>
        <v>-0.35319064820147211</v>
      </c>
      <c r="AW90" s="41">
        <f t="shared" si="35"/>
        <v>-0.36564905318993518</v>
      </c>
      <c r="AX90" s="41">
        <f t="shared" si="35"/>
        <v>-0.37901850700308798</v>
      </c>
      <c r="AY90" s="41">
        <f t="shared" si="35"/>
        <v>-0.39340273598674874</v>
      </c>
      <c r="AZ90" s="41">
        <f t="shared" si="35"/>
        <v>-0.40892183382902714</v>
      </c>
      <c r="BA90" s="41">
        <f t="shared" si="35"/>
        <v>-0.42571562246776778</v>
      </c>
      <c r="BB90" s="41">
        <f t="shared" si="35"/>
        <v>-0.44394787662970675</v>
      </c>
      <c r="BC90" s="41">
        <f t="shared" si="35"/>
        <v>-0.46381168249500776</v>
      </c>
      <c r="BD90" s="41">
        <f t="shared" si="35"/>
        <v>-0.48553630233874073</v>
      </c>
      <c r="BE90" s="41">
        <f t="shared" si="35"/>
        <v>-0.4971800888492714</v>
      </c>
      <c r="BF90" s="41">
        <f t="shared" si="35"/>
        <v>-0.50939606318625841</v>
      </c>
      <c r="BG90" s="41">
        <f t="shared" si="35"/>
        <v>-0.51191165048566589</v>
      </c>
      <c r="BH90" s="41">
        <f t="shared" si="35"/>
        <v>-0.51445220690407478</v>
      </c>
      <c r="BI90" s="41">
        <f t="shared" si="35"/>
        <v>-0.51701810605194043</v>
      </c>
      <c r="BJ90" s="41">
        <f t="shared" si="35"/>
        <v>-0.5196097290308106</v>
      </c>
      <c r="BK90" s="41">
        <f t="shared" si="35"/>
        <v>-0.52222746462201941</v>
      </c>
      <c r="BL90" s="41">
        <f t="shared" si="35"/>
        <v>-0.52487170948111794</v>
      </c>
      <c r="BM90" s="41">
        <f t="shared" si="35"/>
        <v>-0.52754286833824005</v>
      </c>
      <c r="BN90" s="41">
        <f t="shared" si="35"/>
        <v>-0.53024135420461682</v>
      </c>
      <c r="BO90" s="41">
        <f t="shared" si="35"/>
        <v>-0.53296758858546511</v>
      </c>
      <c r="BP90" s="41"/>
    </row>
    <row r="91" spans="2:68" x14ac:dyDescent="0.25">
      <c r="B91" s="46" t="s">
        <v>33</v>
      </c>
      <c r="C91" s="41">
        <f t="shared" ref="C91:AH91" si="36">$E19*($C19-1)/(1+C$83*($C19-1))</f>
        <v>-4.8113979589121572E-2</v>
      </c>
      <c r="D91" s="41">
        <f t="shared" si="36"/>
        <v>-4.9026024889415362E-2</v>
      </c>
      <c r="E91" s="41">
        <f t="shared" si="36"/>
        <v>-5.0024188134243287E-2</v>
      </c>
      <c r="F91" s="41">
        <f t="shared" si="36"/>
        <v>-5.1063841040663825E-2</v>
      </c>
      <c r="G91" s="41">
        <f t="shared" si="36"/>
        <v>-5.2147625351447055E-2</v>
      </c>
      <c r="H91" s="41">
        <f t="shared" si="36"/>
        <v>-5.3278411947107543E-2</v>
      </c>
      <c r="I91" s="41">
        <f t="shared" si="36"/>
        <v>-5.4459326240058191E-2</v>
      </c>
      <c r="J91" s="41">
        <f t="shared" si="36"/>
        <v>-5.569377702247913E-2</v>
      </c>
      <c r="K91" s="41">
        <f t="shared" si="36"/>
        <v>-5.6985489328618709E-2</v>
      </c>
      <c r="L91" s="41">
        <f t="shared" si="36"/>
        <v>-5.8338541978751934E-2</v>
      </c>
      <c r="M91" s="41">
        <f t="shared" si="36"/>
        <v>-5.9757410601844002E-2</v>
      </c>
      <c r="N91" s="41">
        <f t="shared" si="36"/>
        <v>-6.1247017092914177E-2</v>
      </c>
      <c r="O91" s="41">
        <f t="shared" si="36"/>
        <v>-6.2812786656614314E-2</v>
      </c>
      <c r="P91" s="41">
        <f t="shared" si="36"/>
        <v>-6.4460713830220631E-2</v>
      </c>
      <c r="Q91" s="41">
        <f t="shared" si="36"/>
        <v>-6.6197439179526668E-2</v>
      </c>
      <c r="R91" s="41">
        <f t="shared" si="36"/>
        <v>-6.8030338736244256E-2</v>
      </c>
      <c r="S91" s="41">
        <f t="shared" si="36"/>
        <v>-6.9967628716779154E-2</v>
      </c>
      <c r="T91" s="41">
        <f t="shared" si="36"/>
        <v>-7.2018488657826923E-2</v>
      </c>
      <c r="U91" s="41">
        <f t="shared" si="36"/>
        <v>-7.4193206861675257E-2</v>
      </c>
      <c r="V91" s="41">
        <f t="shared" si="36"/>
        <v>-7.6503353013797556E-2</v>
      </c>
      <c r="W91" s="41">
        <f t="shared" si="36"/>
        <v>-7.896198408549579E-2</v>
      </c>
      <c r="X91" s="41">
        <f t="shared" si="36"/>
        <v>-8.15838912581279E-2</v>
      </c>
      <c r="Y91" s="41">
        <f t="shared" si="36"/>
        <v>-8.4385897731150988E-2</v>
      </c>
      <c r="Z91" s="41">
        <f t="shared" si="36"/>
        <v>-8.7387220082342745E-2</v>
      </c>
      <c r="AA91" s="41">
        <f t="shared" si="36"/>
        <v>-9.0609909586062062E-2</v>
      </c>
      <c r="AB91" s="41">
        <f t="shared" si="36"/>
        <v>-9.4079394920898896E-2</v>
      </c>
      <c r="AC91" s="41">
        <f t="shared" si="36"/>
        <v>-9.782515452435632E-2</v>
      </c>
      <c r="AD91" s="41">
        <f t="shared" si="36"/>
        <v>-0.10188155622602196</v>
      </c>
      <c r="AE91" s="41">
        <f t="shared" si="36"/>
        <v>-0.10628891481406938</v>
      </c>
      <c r="AF91" s="41">
        <f t="shared" si="36"/>
        <v>-0.11109483651305982</v>
      </c>
      <c r="AG91" s="41">
        <f t="shared" si="36"/>
        <v>-0.11635594548368774</v>
      </c>
      <c r="AH91" s="41">
        <f t="shared" si="36"/>
        <v>-0.12214012527953484</v>
      </c>
      <c r="AI91" s="41">
        <f t="shared" ref="AI91:BO91" si="37">$E19*($C19-1)/(1+AI$83*($C19-1))</f>
        <v>-0.12852946382820751</v>
      </c>
      <c r="AJ91" s="41">
        <f t="shared" si="37"/>
        <v>-0.13562417377421632</v>
      </c>
      <c r="AK91" s="41">
        <f t="shared" si="37"/>
        <v>-0.14354788707567029</v>
      </c>
      <c r="AL91" s="41">
        <f t="shared" si="37"/>
        <v>-0.15245492075437569</v>
      </c>
      <c r="AM91" s="41">
        <f t="shared" si="37"/>
        <v>-0.16254042659739062</v>
      </c>
      <c r="AN91" s="41">
        <f t="shared" si="37"/>
        <v>-0.17405485491189024</v>
      </c>
      <c r="AO91" s="41">
        <f t="shared" si="37"/>
        <v>-0.18732503469854911</v>
      </c>
      <c r="AP91" s="41">
        <f t="shared" si="37"/>
        <v>-0.20278569279333139</v>
      </c>
      <c r="AQ91" s="41">
        <f t="shared" si="37"/>
        <v>-0.22102798549381039</v>
      </c>
      <c r="AR91" s="41">
        <f t="shared" si="37"/>
        <v>-0.24287681457329277</v>
      </c>
      <c r="AS91" s="41">
        <f t="shared" si="37"/>
        <v>-0.26951903007671851</v>
      </c>
      <c r="AT91" s="41">
        <f t="shared" si="37"/>
        <v>-0.30272640813955148</v>
      </c>
      <c r="AU91" s="41">
        <f t="shared" si="37"/>
        <v>-0.34526663076091813</v>
      </c>
      <c r="AV91" s="41">
        <f t="shared" si="37"/>
        <v>-0.40171743466138893</v>
      </c>
      <c r="AW91" s="41">
        <f t="shared" si="37"/>
        <v>-0.43748135125441351</v>
      </c>
      <c r="AX91" s="41">
        <f t="shared" si="37"/>
        <v>-0.48023554211409381</v>
      </c>
      <c r="AY91" s="41">
        <f t="shared" si="37"/>
        <v>-0.53225142570471273</v>
      </c>
      <c r="AZ91" s="41">
        <f t="shared" si="37"/>
        <v>-0.59690405817809844</v>
      </c>
      <c r="BA91" s="41">
        <f t="shared" si="37"/>
        <v>-0.67943510670492901</v>
      </c>
      <c r="BB91" s="41">
        <f t="shared" si="37"/>
        <v>-0.78845033633432415</v>
      </c>
      <c r="BC91" s="41">
        <f t="shared" si="37"/>
        <v>-0.93913424115813582</v>
      </c>
      <c r="BD91" s="41">
        <f t="shared" si="37"/>
        <v>-1.1610217655238999</v>
      </c>
      <c r="BE91" s="41">
        <f t="shared" si="37"/>
        <v>-1.3165513519094076</v>
      </c>
      <c r="BF91" s="41">
        <f t="shared" si="37"/>
        <v>-1.5201955884993004</v>
      </c>
      <c r="BG91" s="41">
        <f t="shared" si="37"/>
        <v>-1.5687257044007108</v>
      </c>
      <c r="BH91" s="41">
        <f t="shared" si="37"/>
        <v>-1.6204565098518342</v>
      </c>
      <c r="BI91" s="41">
        <f t="shared" si="37"/>
        <v>-1.6757154434917472</v>
      </c>
      <c r="BJ91" s="41">
        <f t="shared" si="37"/>
        <v>-1.7348761845372282</v>
      </c>
      <c r="BK91" s="41">
        <f t="shared" si="37"/>
        <v>-1.7983671140703119</v>
      </c>
      <c r="BL91" s="41">
        <f t="shared" si="37"/>
        <v>-1.8666817048399647</v>
      </c>
      <c r="BM91" s="41">
        <f t="shared" si="37"/>
        <v>-1.9403913726366768</v>
      </c>
      <c r="BN91" s="41">
        <f t="shared" si="37"/>
        <v>-2.0201614976122446</v>
      </c>
      <c r="BO91" s="41">
        <f t="shared" si="37"/>
        <v>-2.106771566876986</v>
      </c>
      <c r="BP91" s="41"/>
    </row>
    <row r="92" spans="2:68" x14ac:dyDescent="0.25">
      <c r="B92" s="46" t="s">
        <v>34</v>
      </c>
      <c r="C92" s="41">
        <f t="shared" ref="C92:AH92" si="38">$E20*($C20-1)/(1+C$83*($C20-1))</f>
        <v>-6.4265503874822378E-3</v>
      </c>
      <c r="D92" s="41">
        <f t="shared" si="38"/>
        <v>-6.5501678040738214E-3</v>
      </c>
      <c r="E92" s="41">
        <f t="shared" si="38"/>
        <v>-6.6855352783654724E-3</v>
      </c>
      <c r="F92" s="41">
        <f t="shared" si="38"/>
        <v>-6.8266159010496076E-3</v>
      </c>
      <c r="G92" s="41">
        <f t="shared" si="38"/>
        <v>-6.9737791518957905E-3</v>
      </c>
      <c r="H92" s="41">
        <f t="shared" si="38"/>
        <v>-7.1274270725296858E-3</v>
      </c>
      <c r="I92" s="41">
        <f t="shared" si="38"/>
        <v>-7.2879979342961232E-3</v>
      </c>
      <c r="J92" s="41">
        <f t="shared" si="38"/>
        <v>-7.4559704133396864E-3</v>
      </c>
      <c r="K92" s="41">
        <f t="shared" si="38"/>
        <v>-7.6318683566651852E-3</v>
      </c>
      <c r="L92" s="41">
        <f t="shared" si="38"/>
        <v>-7.8162662391310107E-3</v>
      </c>
      <c r="M92" s="41">
        <f t="shared" si="38"/>
        <v>-8.0097954311268774E-3</v>
      </c>
      <c r="N92" s="41">
        <f t="shared" si="38"/>
        <v>-8.2131514210099007E-3</v>
      </c>
      <c r="O92" s="41">
        <f t="shared" si="38"/>
        <v>-8.427102166397674E-3</v>
      </c>
      <c r="P92" s="41">
        <f t="shared" si="38"/>
        <v>-8.6524977856692817E-3</v>
      </c>
      <c r="Q92" s="41">
        <f t="shared" si="38"/>
        <v>-8.890281847491209E-3</v>
      </c>
      <c r="R92" s="41">
        <f t="shared" si="38"/>
        <v>-9.141504574468504E-3</v>
      </c>
      <c r="S92" s="41">
        <f t="shared" si="38"/>
        <v>-9.4073383505587846E-3</v>
      </c>
      <c r="T92" s="41">
        <f t="shared" si="38"/>
        <v>-9.6890960152464962E-3</v>
      </c>
      <c r="U92" s="41">
        <f t="shared" si="38"/>
        <v>-9.9882525467774302E-3</v>
      </c>
      <c r="V92" s="41">
        <f t="shared" si="38"/>
        <v>-1.0306470890264197E-2</v>
      </c>
      <c r="W92" s="41">
        <f t="shared" si="38"/>
        <v>-1.0645632885449114E-2</v>
      </c>
      <c r="X92" s="41">
        <f t="shared" si="38"/>
        <v>-1.1007876508822477E-2</v>
      </c>
      <c r="Y92" s="41">
        <f t="shared" si="38"/>
        <v>-1.1395640987106702E-2</v>
      </c>
      <c r="Z92" s="41">
        <f t="shared" si="38"/>
        <v>-1.1811721793916779E-2</v>
      </c>
      <c r="AA92" s="41">
        <f t="shared" si="38"/>
        <v>-1.2259338151323206E-2</v>
      </c>
      <c r="AB92" s="41">
        <f t="shared" si="38"/>
        <v>-1.2742216484172784E-2</v>
      </c>
      <c r="AC92" s="41">
        <f t="shared" si="38"/>
        <v>-1.3264694406021058E-2</v>
      </c>
      <c r="AD92" s="41">
        <f t="shared" si="38"/>
        <v>-1.3831851381750327E-2</v>
      </c>
      <c r="AE92" s="41">
        <f t="shared" si="38"/>
        <v>-1.4449674407788058E-2</v>
      </c>
      <c r="AF92" s="41">
        <f t="shared" si="38"/>
        <v>-1.5125270170681972E-2</v>
      </c>
      <c r="AG92" s="41">
        <f t="shared" si="38"/>
        <v>-1.5867139641837232E-2</v>
      </c>
      <c r="AH92" s="41">
        <f t="shared" si="38"/>
        <v>-1.6685537650815999E-2</v>
      </c>
      <c r="AI92" s="41">
        <f t="shared" ref="AI92:BO92" si="39">$E20*($C20-1)/(1+AI$83*($C20-1))</f>
        <v>-1.759294978701427E-2</v>
      </c>
      <c r="AJ92" s="41">
        <f t="shared" si="39"/>
        <v>-1.8604733863232557E-2</v>
      </c>
      <c r="AK92" s="41">
        <f t="shared" si="39"/>
        <v>-1.9739996232201074E-2</v>
      </c>
      <c r="AL92" s="41">
        <f t="shared" si="39"/>
        <v>-2.1022809790319088E-2</v>
      </c>
      <c r="AM92" s="41">
        <f t="shared" si="39"/>
        <v>-2.248393990453882E-2</v>
      </c>
      <c r="AN92" s="41">
        <f t="shared" si="39"/>
        <v>-2.4163343832258145E-2</v>
      </c>
      <c r="AO92" s="41">
        <f t="shared" si="39"/>
        <v>-2.61138807047912E-2</v>
      </c>
      <c r="AP92" s="41">
        <f t="shared" si="39"/>
        <v>-2.8406976183087958E-2</v>
      </c>
      <c r="AQ92" s="41">
        <f t="shared" si="39"/>
        <v>-3.1141558944241941E-2</v>
      </c>
      <c r="AR92" s="41">
        <f t="shared" si="39"/>
        <v>-3.4458708570486989E-2</v>
      </c>
      <c r="AS92" s="41">
        <f t="shared" si="39"/>
        <v>-3.8566781124664995E-2</v>
      </c>
      <c r="AT92" s="41">
        <f t="shared" si="39"/>
        <v>-4.3786939771623568E-2</v>
      </c>
      <c r="AU92" s="41">
        <f t="shared" si="39"/>
        <v>-5.064145022243479E-2</v>
      </c>
      <c r="AV92" s="41">
        <f t="shared" si="39"/>
        <v>-6.0040299856144133E-2</v>
      </c>
      <c r="AW92" s="41">
        <f t="shared" si="39"/>
        <v>-6.6181841781309036E-2</v>
      </c>
      <c r="AX92" s="41">
        <f t="shared" si="39"/>
        <v>-7.3722990623830337E-2</v>
      </c>
      <c r="AY92" s="41">
        <f t="shared" si="39"/>
        <v>-8.3203711562623531E-2</v>
      </c>
      <c r="AZ92" s="41">
        <f t="shared" si="39"/>
        <v>-9.548271686963547E-2</v>
      </c>
      <c r="BA92" s="41">
        <f t="shared" si="39"/>
        <v>-0.11201338508198955</v>
      </c>
      <c r="BB92" s="41">
        <f t="shared" si="39"/>
        <v>-0.13546630537504961</v>
      </c>
      <c r="BC92" s="41">
        <f t="shared" si="39"/>
        <v>-0.17134100939708041</v>
      </c>
      <c r="BD92" s="41">
        <f t="shared" si="39"/>
        <v>-0.23306115362056753</v>
      </c>
      <c r="BE92" s="41">
        <f t="shared" si="39"/>
        <v>-0.2842587334926921</v>
      </c>
      <c r="BF92" s="41">
        <f t="shared" si="39"/>
        <v>-0.36428223084500483</v>
      </c>
      <c r="BG92" s="41">
        <f t="shared" si="39"/>
        <v>-0.38601621016186749</v>
      </c>
      <c r="BH92" s="41">
        <f t="shared" si="39"/>
        <v>-0.4105081417078747</v>
      </c>
      <c r="BI92" s="41">
        <f t="shared" si="39"/>
        <v>-0.43831854864453024</v>
      </c>
      <c r="BJ92" s="41">
        <f t="shared" si="39"/>
        <v>-0.4701708856147917</v>
      </c>
      <c r="BK92" s="41">
        <f t="shared" si="39"/>
        <v>-0.50701537859373091</v>
      </c>
      <c r="BL92" s="41">
        <f t="shared" si="39"/>
        <v>-0.55012543344909504</v>
      </c>
      <c r="BM92" s="41">
        <f t="shared" si="39"/>
        <v>-0.60124779915555038</v>
      </c>
      <c r="BN92" s="41">
        <f t="shared" si="39"/>
        <v>-0.66284503543643858</v>
      </c>
      <c r="BO92" s="41">
        <f t="shared" si="39"/>
        <v>-0.73850403604582926</v>
      </c>
      <c r="BP92" s="41"/>
    </row>
    <row r="93" spans="2:68" x14ac:dyDescent="0.25">
      <c r="B93" s="46" t="s">
        <v>35</v>
      </c>
      <c r="C93" s="41">
        <f t="shared" ref="C93:AH93" si="40">$E21*($C21-1)/(1+C$83*($C21-1))</f>
        <v>-1.4221417269821795E-2</v>
      </c>
      <c r="D93" s="41">
        <f t="shared" si="40"/>
        <v>-1.4495705794596664E-2</v>
      </c>
      <c r="E93" s="41">
        <f t="shared" si="40"/>
        <v>-1.4796097783929901E-2</v>
      </c>
      <c r="F93" s="41">
        <f t="shared" si="40"/>
        <v>-1.5109203172698116E-2</v>
      </c>
      <c r="G93" s="41">
        <f t="shared" si="40"/>
        <v>-1.5435846507465453E-2</v>
      </c>
      <c r="H93" s="41">
        <f t="shared" si="40"/>
        <v>-1.5776925213280522E-2</v>
      </c>
      <c r="I93" s="41">
        <f t="shared" si="40"/>
        <v>-1.6133417827423186E-2</v>
      </c>
      <c r="J93" s="41">
        <f t="shared" si="40"/>
        <v>-1.6506393375247671E-2</v>
      </c>
      <c r="K93" s="41">
        <f t="shared" si="40"/>
        <v>-1.6897022077318344E-2</v>
      </c>
      <c r="L93" s="41">
        <f t="shared" si="40"/>
        <v>-1.7306587613721846E-2</v>
      </c>
      <c r="M93" s="41">
        <f t="shared" si="40"/>
        <v>-1.7736501216328679E-2</v>
      </c>
      <c r="N93" s="41">
        <f t="shared" si="40"/>
        <v>-1.8188317914958414E-2</v>
      </c>
      <c r="O93" s="41">
        <f t="shared" si="40"/>
        <v>-1.8663755331565578E-2</v>
      </c>
      <c r="P93" s="41">
        <f t="shared" si="40"/>
        <v>-1.9164715501192062E-2</v>
      </c>
      <c r="Q93" s="41">
        <f t="shared" si="40"/>
        <v>-1.9693310304069064E-2</v>
      </c>
      <c r="R93" s="41">
        <f t="shared" si="40"/>
        <v>-2.0251891225854794E-2</v>
      </c>
      <c r="S93" s="41">
        <f t="shared" si="40"/>
        <v>-2.0843084330436475E-2</v>
      </c>
      <c r="T93" s="41">
        <f t="shared" si="40"/>
        <v>-2.1469831542481582E-2</v>
      </c>
      <c r="U93" s="41">
        <f t="shared" si="40"/>
        <v>-2.2135439609043107E-2</v>
      </c>
      <c r="V93" s="41">
        <f t="shared" si="40"/>
        <v>-2.2843638459998445E-2</v>
      </c>
      <c r="W93" s="41">
        <f t="shared" si="40"/>
        <v>-2.3598651141829807E-2</v>
      </c>
      <c r="X93" s="41">
        <f t="shared" si="40"/>
        <v>-2.4405278093869824E-2</v>
      </c>
      <c r="Y93" s="41">
        <f t="shared" si="40"/>
        <v>-2.5268999320147131E-2</v>
      </c>
      <c r="Z93" s="41">
        <f t="shared" si="40"/>
        <v>-2.6196099052860349E-2</v>
      </c>
      <c r="AA93" s="41">
        <f t="shared" si="40"/>
        <v>-2.7193818903885173E-2</v>
      </c>
      <c r="AB93" s="41">
        <f t="shared" si="40"/>
        <v>-2.8270547400121304E-2</v>
      </c>
      <c r="AC93" s="41">
        <f t="shared" si="40"/>
        <v>-2.9436056402647483E-2</v>
      </c>
      <c r="AD93" s="41">
        <f t="shared" si="40"/>
        <v>-3.0701798521618171E-2</v>
      </c>
      <c r="AE93" s="41">
        <f t="shared" si="40"/>
        <v>-3.2081284711429049E-2</v>
      </c>
      <c r="AF93" s="41">
        <f t="shared" si="40"/>
        <v>-3.3590568451061023E-2</v>
      </c>
      <c r="AG93" s="41">
        <f t="shared" si="40"/>
        <v>-3.5248873343009392E-2</v>
      </c>
      <c r="AH93" s="41">
        <f t="shared" si="40"/>
        <v>-3.7079416266851073E-2</v>
      </c>
      <c r="AI93" s="41">
        <f t="shared" ref="AI93:BO93" si="41">$E21*($C21-1)/(1+AI$83*($C21-1))</f>
        <v>-3.9110501070193988E-2</v>
      </c>
      <c r="AJ93" s="41">
        <f t="shared" si="41"/>
        <v>-4.1376992542334595E-2</v>
      </c>
      <c r="AK93" s="41">
        <f t="shared" si="41"/>
        <v>-4.3922334424586776E-2</v>
      </c>
      <c r="AL93" s="41">
        <f t="shared" si="41"/>
        <v>-4.6801361081367815E-2</v>
      </c>
      <c r="AM93" s="41">
        <f t="shared" si="41"/>
        <v>-5.0084292537311177E-2</v>
      </c>
      <c r="AN93" s="41">
        <f t="shared" si="41"/>
        <v>-5.3862537773516773E-2</v>
      </c>
      <c r="AO93" s="41">
        <f t="shared" si="41"/>
        <v>-5.825733907083834E-2</v>
      </c>
      <c r="AP93" s="41">
        <f t="shared" si="41"/>
        <v>-6.3433024225751991E-2</v>
      </c>
      <c r="AQ93" s="41">
        <f t="shared" si="41"/>
        <v>-6.9618011647894246E-2</v>
      </c>
      <c r="AR93" s="41">
        <f t="shared" si="41"/>
        <v>-7.7139431602851097E-2</v>
      </c>
      <c r="AS93" s="41">
        <f t="shared" si="41"/>
        <v>-8.6482908343744572E-2</v>
      </c>
      <c r="AT93" s="41">
        <f t="shared" si="41"/>
        <v>-9.8401776427244667E-2</v>
      </c>
      <c r="AU93" s="41">
        <f t="shared" si="41"/>
        <v>-0.1141310446955002</v>
      </c>
      <c r="AV93" s="41">
        <f t="shared" si="41"/>
        <v>-0.13584561293261496</v>
      </c>
      <c r="AW93" s="41">
        <f t="shared" si="41"/>
        <v>-0.15012721173979793</v>
      </c>
      <c r="AX93" s="41">
        <f t="shared" si="41"/>
        <v>-0.16776447572399414</v>
      </c>
      <c r="AY93" s="41">
        <f t="shared" si="41"/>
        <v>-0.19009753868943935</v>
      </c>
      <c r="AZ93" s="41">
        <f t="shared" si="41"/>
        <v>-0.21928972090509161</v>
      </c>
      <c r="BA93" s="41">
        <f t="shared" si="41"/>
        <v>-0.25907426028258534</v>
      </c>
      <c r="BB93" s="41">
        <f t="shared" si="41"/>
        <v>-0.31649405185736534</v>
      </c>
      <c r="BC93" s="41">
        <f t="shared" si="41"/>
        <v>-0.40661366392824755</v>
      </c>
      <c r="BD93" s="41">
        <f t="shared" si="41"/>
        <v>-0.5684864694026478</v>
      </c>
      <c r="BE93" s="41">
        <f t="shared" si="41"/>
        <v>-0.70976513795308149</v>
      </c>
      <c r="BF93" s="41">
        <f t="shared" si="41"/>
        <v>-0.94448621156992696</v>
      </c>
      <c r="BG93" s="41">
        <f t="shared" si="41"/>
        <v>-1.0113793375490427</v>
      </c>
      <c r="BH93" s="41">
        <f t="shared" si="41"/>
        <v>-1.088470106095603</v>
      </c>
      <c r="BI93" s="41">
        <f t="shared" si="41"/>
        <v>-1.1782828254232682</v>
      </c>
      <c r="BJ93" s="41">
        <f t="shared" si="41"/>
        <v>-1.2842498828851405</v>
      </c>
      <c r="BK93" s="41">
        <f t="shared" si="41"/>
        <v>-1.4111604303200589</v>
      </c>
      <c r="BL93" s="41">
        <f t="shared" si="41"/>
        <v>-1.5659042787703017</v>
      </c>
      <c r="BM93" s="41">
        <f t="shared" si="41"/>
        <v>-1.7587655143654279</v>
      </c>
      <c r="BN93" s="41">
        <f t="shared" si="41"/>
        <v>-2.005806342334127</v>
      </c>
      <c r="BO93" s="41">
        <f t="shared" si="41"/>
        <v>-2.3335882883550747</v>
      </c>
      <c r="BP93" s="41"/>
    </row>
    <row r="94" spans="2:68" x14ac:dyDescent="0.25">
      <c r="B94" s="46" t="s">
        <v>36</v>
      </c>
      <c r="C94" s="41">
        <f t="shared" ref="C94:AH94" si="42">$E22*($C22-1)/(1+C$83*($C22-1))</f>
        <v>-3.3068910822710786E-3</v>
      </c>
      <c r="D94" s="41">
        <f t="shared" si="42"/>
        <v>-3.3708776008437346E-3</v>
      </c>
      <c r="E94" s="41">
        <f t="shared" si="42"/>
        <v>-3.440962577754269E-3</v>
      </c>
      <c r="F94" s="41">
        <f t="shared" si="42"/>
        <v>-3.5140237513231055E-3</v>
      </c>
      <c r="G94" s="41">
        <f t="shared" si="42"/>
        <v>-3.5902548128682486E-3</v>
      </c>
      <c r="H94" s="41">
        <f t="shared" si="42"/>
        <v>-3.6698666336788224E-3</v>
      </c>
      <c r="I94" s="41">
        <f t="shared" si="42"/>
        <v>-3.753089212989827E-3</v>
      </c>
      <c r="J94" s="41">
        <f t="shared" si="42"/>
        <v>-3.8401738971555032E-3</v>
      </c>
      <c r="K94" s="41">
        <f t="shared" si="42"/>
        <v>-3.9313959151169283E-3</v>
      </c>
      <c r="L94" s="41">
        <f t="shared" si="42"/>
        <v>-4.0270572840378233E-3</v>
      </c>
      <c r="M94" s="41">
        <f t="shared" si="42"/>
        <v>-4.1274901497312961E-3</v>
      </c>
      <c r="N94" s="41">
        <f t="shared" si="42"/>
        <v>-4.233060639723279E-3</v>
      </c>
      <c r="O94" s="41">
        <f t="shared" si="42"/>
        <v>-4.3441733231452855E-3</v>
      </c>
      <c r="P94" s="41">
        <f t="shared" si="42"/>
        <v>-4.461276391961832E-3</v>
      </c>
      <c r="Q94" s="41">
        <f t="shared" si="42"/>
        <v>-4.5848677034150895E-3</v>
      </c>
      <c r="R94" s="41">
        <f t="shared" si="42"/>
        <v>-4.7155018554541567E-3</v>
      </c>
      <c r="S94" s="41">
        <f t="shared" si="42"/>
        <v>-4.8537985072171982E-3</v>
      </c>
      <c r="T94" s="41">
        <f t="shared" si="42"/>
        <v>-5.0004522078944741E-3</v>
      </c>
      <c r="U94" s="41">
        <f t="shared" si="42"/>
        <v>-5.1562440629333729E-3</v>
      </c>
      <c r="V94" s="41">
        <f t="shared" si="42"/>
        <v>-5.3220556511748935E-3</v>
      </c>
      <c r="W94" s="41">
        <f t="shared" si="42"/>
        <v>-5.498885716446052E-3</v>
      </c>
      <c r="X94" s="41">
        <f t="shared" si="42"/>
        <v>-5.6878703010717997E-3</v>
      </c>
      <c r="Y94" s="41">
        <f t="shared" si="42"/>
        <v>-5.890307178815452E-3</v>
      </c>
      <c r="Z94" s="41">
        <f t="shared" si="42"/>
        <v>-6.1076856979237846E-3</v>
      </c>
      <c r="AA94" s="41">
        <f t="shared" si="42"/>
        <v>-6.34172348542918E-3</v>
      </c>
      <c r="AB94" s="41">
        <f t="shared" si="42"/>
        <v>-6.5944119264350256E-3</v>
      </c>
      <c r="AC94" s="41">
        <f t="shared" si="42"/>
        <v>-6.86807296745126E-3</v>
      </c>
      <c r="AD94" s="41">
        <f t="shared" si="42"/>
        <v>-7.1654306757551875E-3</v>
      </c>
      <c r="AE94" s="41">
        <f t="shared" si="42"/>
        <v>-7.4897022292648337E-3</v>
      </c>
      <c r="AF94" s="41">
        <f t="shared" si="42"/>
        <v>-7.8447147839810216E-3</v>
      </c>
      <c r="AG94" s="41">
        <f t="shared" si="42"/>
        <v>-8.2350572324291615E-3</v>
      </c>
      <c r="AH94" s="41">
        <f t="shared" si="42"/>
        <v>-8.6662796423823598E-3</v>
      </c>
      <c r="AI94" s="41">
        <f t="shared" ref="AI94:BO94" si="43">$E22*($C22-1)/(1+AI$83*($C22-1))</f>
        <v>-9.1451588188038307E-3</v>
      </c>
      <c r="AJ94" s="41">
        <f t="shared" si="43"/>
        <v>-9.6800570617320662E-3</v>
      </c>
      <c r="AK94" s="41">
        <f t="shared" si="43"/>
        <v>-1.0281414647618952E-2</v>
      </c>
      <c r="AL94" s="41">
        <f t="shared" si="43"/>
        <v>-1.0962438037416592E-2</v>
      </c>
      <c r="AM94" s="41">
        <f t="shared" si="43"/>
        <v>-1.1740081001353705E-2</v>
      </c>
      <c r="AN94" s="41">
        <f t="shared" si="43"/>
        <v>-1.2636475216542901E-2</v>
      </c>
      <c r="AO94" s="41">
        <f t="shared" si="43"/>
        <v>-1.3681070427365778E-2</v>
      </c>
      <c r="AP94" s="41">
        <f t="shared" si="43"/>
        <v>-1.4913931761360326E-2</v>
      </c>
      <c r="AQ94" s="41">
        <f t="shared" si="43"/>
        <v>-1.6390996427329472E-2</v>
      </c>
      <c r="AR94" s="41">
        <f t="shared" si="43"/>
        <v>-1.8192797508709425E-2</v>
      </c>
      <c r="AS94" s="41">
        <f t="shared" si="43"/>
        <v>-2.0439652215032925E-2</v>
      </c>
      <c r="AT94" s="41">
        <f t="shared" si="43"/>
        <v>-2.3319690689025847E-2</v>
      </c>
      <c r="AU94" s="41">
        <f t="shared" si="43"/>
        <v>-2.7144467667407815E-2</v>
      </c>
      <c r="AV94" s="41">
        <f t="shared" si="43"/>
        <v>-3.247003804775013E-2</v>
      </c>
      <c r="AW94" s="41">
        <f t="shared" si="43"/>
        <v>-3.6001688150566216E-2</v>
      </c>
      <c r="AX94" s="41">
        <f t="shared" si="43"/>
        <v>-4.0395345665298579E-2</v>
      </c>
      <c r="AY94" s="41">
        <f t="shared" si="43"/>
        <v>-4.6010479239654789E-2</v>
      </c>
      <c r="AZ94" s="41">
        <f t="shared" si="43"/>
        <v>-5.3438696930658475E-2</v>
      </c>
      <c r="BA94" s="41">
        <f t="shared" si="43"/>
        <v>-6.3727214451176656E-2</v>
      </c>
      <c r="BB94" s="41">
        <f t="shared" si="43"/>
        <v>-7.8922019464216106E-2</v>
      </c>
      <c r="BC94" s="41">
        <f t="shared" si="43"/>
        <v>-0.10363137782654215</v>
      </c>
      <c r="BD94" s="41">
        <f t="shared" si="43"/>
        <v>-0.15086508302107141</v>
      </c>
      <c r="BE94" s="41">
        <f t="shared" si="43"/>
        <v>-0.1953939784631597</v>
      </c>
      <c r="BF94" s="41">
        <f t="shared" si="43"/>
        <v>-0.27721634049336541</v>
      </c>
      <c r="BG94" s="41">
        <f t="shared" si="43"/>
        <v>-0.30255573428614135</v>
      </c>
      <c r="BH94" s="41">
        <f t="shared" si="43"/>
        <v>-0.33299352939111543</v>
      </c>
      <c r="BI94" s="41">
        <f t="shared" si="43"/>
        <v>-0.37024057326256338</v>
      </c>
      <c r="BJ94" s="41">
        <f t="shared" si="43"/>
        <v>-0.41686958679443725</v>
      </c>
      <c r="BK94" s="41">
        <f t="shared" si="43"/>
        <v>-0.47693609869481884</v>
      </c>
      <c r="BL94" s="41">
        <f t="shared" si="43"/>
        <v>-0.55722657224658545</v>
      </c>
      <c r="BM94" s="41">
        <f t="shared" si="43"/>
        <v>-0.6700224346620004</v>
      </c>
      <c r="BN94" s="41">
        <f t="shared" si="43"/>
        <v>-0.84007314601830163</v>
      </c>
      <c r="BO94" s="41">
        <f t="shared" si="43"/>
        <v>-1.1257993769483492</v>
      </c>
      <c r="BP94" s="41"/>
    </row>
    <row r="95" spans="2:68" x14ac:dyDescent="0.25">
      <c r="B95" s="46" t="s">
        <v>37</v>
      </c>
      <c r="C95" s="41">
        <f t="shared" ref="C95:AH95" si="44">$E23*($C23-1)/(1+C$83*($C23-1))</f>
        <v>-3.4587756979574994E-3</v>
      </c>
      <c r="D95" s="41">
        <f t="shared" si="44"/>
        <v>-3.5257410746569111E-3</v>
      </c>
      <c r="E95" s="41">
        <f t="shared" si="44"/>
        <v>-3.5990905626815135E-3</v>
      </c>
      <c r="F95" s="41">
        <f t="shared" si="44"/>
        <v>-3.6755568161473853E-3</v>
      </c>
      <c r="G95" s="41">
        <f t="shared" si="44"/>
        <v>-3.7553428036557488E-3</v>
      </c>
      <c r="H95" s="41">
        <f t="shared" si="44"/>
        <v>-3.8386695083599824E-3</v>
      </c>
      <c r="I95" s="41">
        <f t="shared" si="44"/>
        <v>-3.9257779719289706E-3</v>
      </c>
      <c r="J95" s="41">
        <f t="shared" si="44"/>
        <v>-4.0169316232663349E-3</v>
      </c>
      <c r="K95" s="41">
        <f t="shared" si="44"/>
        <v>-4.1124189393684646E-3</v>
      </c>
      <c r="L95" s="41">
        <f t="shared" si="44"/>
        <v>-4.2125564949345249E-3</v>
      </c>
      <c r="M95" s="41">
        <f t="shared" si="44"/>
        <v>-4.3176924686450487E-3</v>
      </c>
      <c r="N95" s="41">
        <f t="shared" si="44"/>
        <v>-4.4282106879332738E-3</v>
      </c>
      <c r="O95" s="41">
        <f t="shared" si="44"/>
        <v>-4.5445353112688273E-3</v>
      </c>
      <c r="P95" s="41">
        <f t="shared" si="44"/>
        <v>-4.6671362683439284E-3</v>
      </c>
      <c r="Q95" s="41">
        <f t="shared" si="44"/>
        <v>-4.7965356052554354E-3</v>
      </c>
      <c r="R95" s="41">
        <f t="shared" si="44"/>
        <v>-4.9333149153324863E-3</v>
      </c>
      <c r="S95" s="41">
        <f t="shared" si="44"/>
        <v>-5.0781240786808403E-3</v>
      </c>
      <c r="T95" s="41">
        <f t="shared" si="44"/>
        <v>-5.2316915874821412E-3</v>
      </c>
      <c r="U95" s="41">
        <f t="shared" si="44"/>
        <v>-5.3948368031997073E-3</v>
      </c>
      <c r="V95" s="41">
        <f t="shared" si="44"/>
        <v>-5.5684845809771981E-3</v>
      </c>
      <c r="W95" s="41">
        <f t="shared" si="44"/>
        <v>-5.7536828123315436E-3</v>
      </c>
      <c r="X95" s="41">
        <f t="shared" si="44"/>
        <v>-5.9516235889154143E-3</v>
      </c>
      <c r="Y95" s="41">
        <f t="shared" si="44"/>
        <v>-6.1636688904331367E-3</v>
      </c>
      <c r="Z95" s="41">
        <f t="shared" si="44"/>
        <v>-6.3913819667051359E-3</v>
      </c>
      <c r="AA95" s="41">
        <f t="shared" si="44"/>
        <v>-6.6365659429395481E-3</v>
      </c>
      <c r="AB95" s="41">
        <f t="shared" si="44"/>
        <v>-6.9013116652470027E-3</v>
      </c>
      <c r="AC95" s="41">
        <f t="shared" si="44"/>
        <v>-7.1880574738887029E-3</v>
      </c>
      <c r="AD95" s="41">
        <f t="shared" si="44"/>
        <v>-7.4996645237837417E-3</v>
      </c>
      <c r="AE95" s="41">
        <f t="shared" si="44"/>
        <v>-7.839512583955096E-3</v>
      </c>
      <c r="AF95" s="41">
        <f t="shared" si="44"/>
        <v>-8.2116231202916425E-3</v>
      </c>
      <c r="AG95" s="41">
        <f t="shared" si="44"/>
        <v>-8.6208191785726897E-3</v>
      </c>
      <c r="AH95" s="41">
        <f t="shared" si="44"/>
        <v>-9.0729355776097576E-3</v>
      </c>
      <c r="AI95" s="41">
        <f t="shared" ref="AI95:BO95" si="45">$E23*($C23-1)/(1+AI$83*($C23-1))</f>
        <v>-9.5750989042423136E-3</v>
      </c>
      <c r="AJ95" s="41">
        <f t="shared" si="45"/>
        <v>-1.0136105938123287E-2</v>
      </c>
      <c r="AK95" s="41">
        <f t="shared" si="45"/>
        <v>-1.0766943387888698E-2</v>
      </c>
      <c r="AL95" s="41">
        <f t="shared" si="45"/>
        <v>-1.1481514587734692E-2</v>
      </c>
      <c r="AM95" s="41">
        <f t="shared" si="45"/>
        <v>-1.2297676136624218E-2</v>
      </c>
      <c r="AN95" s="41">
        <f t="shared" si="45"/>
        <v>-1.3238750507707179E-2</v>
      </c>
      <c r="AO95" s="41">
        <f t="shared" si="45"/>
        <v>-1.4335790719662784E-2</v>
      </c>
      <c r="AP95" s="41">
        <f t="shared" si="45"/>
        <v>-1.5631072727433384E-2</v>
      </c>
      <c r="AQ95" s="41">
        <f t="shared" si="45"/>
        <v>-1.7183669157013956E-2</v>
      </c>
      <c r="AR95" s="41">
        <f t="shared" si="45"/>
        <v>-1.9078711121487239E-2</v>
      </c>
      <c r="AS95" s="41">
        <f t="shared" si="45"/>
        <v>-2.1443538110068786E-2</v>
      </c>
      <c r="AT95" s="41">
        <f t="shared" si="45"/>
        <v>-2.4477558045239371E-2</v>
      </c>
      <c r="AU95" s="41">
        <f t="shared" si="45"/>
        <v>-2.8511634242562884E-2</v>
      </c>
      <c r="AV95" s="41">
        <f t="shared" si="45"/>
        <v>-3.4137784714403506E-2</v>
      </c>
      <c r="AW95" s="41">
        <f t="shared" si="45"/>
        <v>-3.7874654037093738E-2</v>
      </c>
      <c r="AX95" s="41">
        <f t="shared" si="45"/>
        <v>-4.2530192561348192E-2</v>
      </c>
      <c r="AY95" s="41">
        <f t="shared" si="45"/>
        <v>-4.8490644754507546E-2</v>
      </c>
      <c r="AZ95" s="41">
        <f t="shared" si="45"/>
        <v>-5.6394068923362975E-2</v>
      </c>
      <c r="BA95" s="41">
        <f t="shared" si="45"/>
        <v>-6.7375511872096755E-2</v>
      </c>
      <c r="BB95" s="41">
        <f t="shared" si="45"/>
        <v>-8.3667904656837211E-2</v>
      </c>
      <c r="BC95" s="41">
        <f t="shared" si="45"/>
        <v>-0.11035285245366827</v>
      </c>
      <c r="BD95" s="41">
        <f t="shared" si="45"/>
        <v>-0.1620307622924316</v>
      </c>
      <c r="BE95" s="41">
        <f t="shared" si="45"/>
        <v>-0.21156942616399987</v>
      </c>
      <c r="BF95" s="41">
        <f t="shared" si="45"/>
        <v>-0.30473922951345128</v>
      </c>
      <c r="BG95" s="41">
        <f t="shared" si="45"/>
        <v>-0.33417134456178432</v>
      </c>
      <c r="BH95" s="41">
        <f t="shared" si="45"/>
        <v>-0.3698964273592531</v>
      </c>
      <c r="BI95" s="41">
        <f t="shared" si="45"/>
        <v>-0.41417435001030928</v>
      </c>
      <c r="BJ95" s="41">
        <f t="shared" si="45"/>
        <v>-0.47049418309302132</v>
      </c>
      <c r="BK95" s="41">
        <f t="shared" si="45"/>
        <v>-0.54454146377481616</v>
      </c>
      <c r="BL95" s="41">
        <f t="shared" si="45"/>
        <v>-0.64624944627075276</v>
      </c>
      <c r="BM95" s="41">
        <f t="shared" si="45"/>
        <v>-0.79467708362891565</v>
      </c>
      <c r="BN95" s="41">
        <f t="shared" si="45"/>
        <v>-1.0316133525387934</v>
      </c>
      <c r="BO95" s="41">
        <f t="shared" si="45"/>
        <v>-1.4698574477486486</v>
      </c>
      <c r="BP95" s="41"/>
    </row>
    <row r="96" spans="2:68" x14ac:dyDescent="0.25">
      <c r="B96" s="46" t="s">
        <v>1</v>
      </c>
      <c r="C96" s="41">
        <f t="shared" ref="C96:AH96" si="46">$E24*($C24-1)/(1+C$83*($C24-1))</f>
        <v>-3.5118879283465958E-3</v>
      </c>
      <c r="D96" s="41">
        <f t="shared" si="46"/>
        <v>-3.5799434391192808E-3</v>
      </c>
      <c r="E96" s="41">
        <f t="shared" si="46"/>
        <v>-3.6544896862743055E-3</v>
      </c>
      <c r="F96" s="41">
        <f t="shared" si="46"/>
        <v>-3.7322065544235137E-3</v>
      </c>
      <c r="G96" s="41">
        <f t="shared" si="46"/>
        <v>-3.8133007193159284E-3</v>
      </c>
      <c r="H96" s="41">
        <f t="shared" si="46"/>
        <v>-3.8979972184440439E-3</v>
      </c>
      <c r="I96" s="41">
        <f t="shared" si="46"/>
        <v>-3.9865415365097218E-3</v>
      </c>
      <c r="J96" s="41">
        <f t="shared" si="46"/>
        <v>-4.0792019817289544E-3</v>
      </c>
      <c r="K96" s="41">
        <f t="shared" si="46"/>
        <v>-4.1762724014219469E-3</v>
      </c>
      <c r="L96" s="41">
        <f t="shared" si="46"/>
        <v>-4.2780752947826645E-3</v>
      </c>
      <c r="M96" s="41">
        <f t="shared" si="46"/>
        <v>-4.384965392294062E-3</v>
      </c>
      <c r="N96" s="41">
        <f t="shared" si="46"/>
        <v>-4.4973337854963191E-3</v>
      </c>
      <c r="O96" s="41">
        <f t="shared" si="46"/>
        <v>-4.6156127084272369E-3</v>
      </c>
      <c r="P96" s="41">
        <f t="shared" si="46"/>
        <v>-4.7402810939471216E-3</v>
      </c>
      <c r="Q96" s="41">
        <f t="shared" si="46"/>
        <v>-4.871871055523452E-3</v>
      </c>
      <c r="R96" s="41">
        <f t="shared" si="46"/>
        <v>-5.0109754794450826E-3</v>
      </c>
      <c r="S96" s="41">
        <f t="shared" si="46"/>
        <v>-5.15825695592847E-3</v>
      </c>
      <c r="T96" s="41">
        <f t="shared" si="46"/>
        <v>-5.3144583329244807E-3</v>
      </c>
      <c r="U96" s="41">
        <f t="shared" si="46"/>
        <v>-5.4804152473352337E-3</v>
      </c>
      <c r="V96" s="41">
        <f t="shared" si="46"/>
        <v>-5.6570710798201666E-3</v>
      </c>
      <c r="W96" s="41">
        <f t="shared" si="46"/>
        <v>-5.845494898259954E-3</v>
      </c>
      <c r="X96" s="41">
        <f t="shared" si="46"/>
        <v>-6.0469031107037779E-3</v>
      </c>
      <c r="Y96" s="41">
        <f t="shared" si="46"/>
        <v>-6.2626857544056331E-3</v>
      </c>
      <c r="Z96" s="41">
        <f t="shared" si="46"/>
        <v>-6.4944386218702983E-3</v>
      </c>
      <c r="AA96" s="41">
        <f t="shared" si="46"/>
        <v>-6.7440027940153377E-3</v>
      </c>
      <c r="AB96" s="41">
        <f t="shared" si="46"/>
        <v>-7.0135136525252828E-3</v>
      </c>
      <c r="AC96" s="41">
        <f t="shared" si="46"/>
        <v>-7.3054621335014586E-3</v>
      </c>
      <c r="AD96" s="41">
        <f t="shared" si="46"/>
        <v>-7.6227719442777467E-3</v>
      </c>
      <c r="AE96" s="41">
        <f t="shared" si="46"/>
        <v>-7.9688978172590477E-3</v>
      </c>
      <c r="AF96" s="41">
        <f t="shared" si="46"/>
        <v>-8.3479518054113324E-3</v>
      </c>
      <c r="AG96" s="41">
        <f t="shared" si="46"/>
        <v>-8.7648674226482991E-3</v>
      </c>
      <c r="AH96" s="41">
        <f t="shared" si="46"/>
        <v>-9.2256155550250324E-3</v>
      </c>
      <c r="AI96" s="41">
        <f t="shared" ref="AI96:BO96" si="47">$E24*($C24-1)/(1+AI$83*($C24-1))</f>
        <v>-9.7374922500025798E-3</v>
      </c>
      <c r="AJ96" s="41">
        <f t="shared" si="47"/>
        <v>-1.0309507940437633E-2</v>
      </c>
      <c r="AK96" s="41">
        <f t="shared" si="47"/>
        <v>-1.0952922416953769E-2</v>
      </c>
      <c r="AL96" s="41">
        <f t="shared" si="47"/>
        <v>-1.1681993459927844E-2</v>
      </c>
      <c r="AM96" s="41">
        <f t="shared" si="47"/>
        <v>-1.2515045784761349E-2</v>
      </c>
      <c r="AN96" s="41">
        <f t="shared" si="47"/>
        <v>-1.3476032470611082E-2</v>
      </c>
      <c r="AO96" s="41">
        <f t="shared" si="47"/>
        <v>-1.459687560214361E-2</v>
      </c>
      <c r="AP96" s="41">
        <f t="shared" si="47"/>
        <v>-1.5921080947079058E-2</v>
      </c>
      <c r="AQ96" s="41">
        <f t="shared" si="47"/>
        <v>-1.7509516437354461E-2</v>
      </c>
      <c r="AR96" s="41">
        <f t="shared" si="47"/>
        <v>-1.9450033099855966E-2</v>
      </c>
      <c r="AS96" s="41">
        <f t="shared" si="47"/>
        <v>-2.1874280891126356E-2</v>
      </c>
      <c r="AT96" s="41">
        <f t="shared" si="47"/>
        <v>-2.4988890653602384E-2</v>
      </c>
      <c r="AU96" s="41">
        <f t="shared" si="47"/>
        <v>-2.9137718330239537E-2</v>
      </c>
      <c r="AV96" s="41">
        <f t="shared" si="47"/>
        <v>-3.4938438432485605E-2</v>
      </c>
      <c r="AW96" s="41">
        <f t="shared" si="47"/>
        <v>-3.880064323222944E-2</v>
      </c>
      <c r="AX96" s="41">
        <f t="shared" si="47"/>
        <v>-4.3622850205431524E-2</v>
      </c>
      <c r="AY96" s="41">
        <f t="shared" si="47"/>
        <v>-4.9813788800956035E-2</v>
      </c>
      <c r="AZ96" s="41">
        <f t="shared" si="47"/>
        <v>-5.8052590786038832E-2</v>
      </c>
      <c r="BA96" s="41">
        <f t="shared" si="47"/>
        <v>-6.9556714703754852E-2</v>
      </c>
      <c r="BB96" s="41">
        <f t="shared" si="47"/>
        <v>-8.6747164123384637E-2</v>
      </c>
      <c r="BC96" s="41">
        <f t="shared" si="47"/>
        <v>-0.11522394643864808</v>
      </c>
      <c r="BD96" s="41">
        <f t="shared" si="47"/>
        <v>-0.17153398145856116</v>
      </c>
      <c r="BE96" s="41">
        <f t="shared" si="47"/>
        <v>-0.22700201478504836</v>
      </c>
      <c r="BF96" s="41">
        <f t="shared" si="47"/>
        <v>-0.33548650592063312</v>
      </c>
      <c r="BG96" s="41">
        <f t="shared" si="47"/>
        <v>-0.3709411341226404</v>
      </c>
      <c r="BH96" s="41">
        <f t="shared" si="47"/>
        <v>-0.41477507635287647</v>
      </c>
      <c r="BI96" s="41">
        <f t="shared" si="47"/>
        <v>-0.47035693815852087</v>
      </c>
      <c r="BJ96" s="41">
        <f t="shared" si="47"/>
        <v>-0.54314036857216874</v>
      </c>
      <c r="BK96" s="41">
        <f t="shared" si="47"/>
        <v>-0.64257259544523826</v>
      </c>
      <c r="BL96" s="41">
        <f t="shared" si="47"/>
        <v>-0.78656910596242724</v>
      </c>
      <c r="BM96" s="41">
        <f t="shared" si="47"/>
        <v>-1.0137424701954107</v>
      </c>
      <c r="BN96" s="41">
        <f t="shared" si="47"/>
        <v>-1.425428277291759</v>
      </c>
      <c r="BO96" s="41">
        <f t="shared" si="47"/>
        <v>-2.4001348568585872</v>
      </c>
      <c r="BP96" s="41"/>
    </row>
    <row r="97" spans="2:68" x14ac:dyDescent="0.25">
      <c r="B97" s="46" t="s">
        <v>15</v>
      </c>
      <c r="C97" s="41">
        <f t="shared" ref="C97:AH97" si="48">$E25*($C25-1)/(1+C$83*($C25-1))</f>
        <v>-2.4023122284834084E-4</v>
      </c>
      <c r="D97" s="41">
        <f t="shared" si="48"/>
        <v>-2.4488858875511873E-4</v>
      </c>
      <c r="E97" s="41">
        <f t="shared" si="48"/>
        <v>-2.4999023507767983E-4</v>
      </c>
      <c r="F97" s="41">
        <f t="shared" si="48"/>
        <v>-2.5530896407318775E-4</v>
      </c>
      <c r="G97" s="41">
        <f t="shared" si="48"/>
        <v>-2.6085893273023727E-4</v>
      </c>
      <c r="H97" s="41">
        <f t="shared" si="48"/>
        <v>-2.6665555638397999E-4</v>
      </c>
      <c r="I97" s="41">
        <f t="shared" si="48"/>
        <v>-2.7271565170395825E-4</v>
      </c>
      <c r="J97" s="41">
        <f t="shared" si="48"/>
        <v>-2.7905759963285968E-4</v>
      </c>
      <c r="K97" s="41">
        <f t="shared" si="48"/>
        <v>-2.8570153160119814E-4</v>
      </c>
      <c r="L97" s="41">
        <f t="shared" si="48"/>
        <v>-2.9266954299167692E-4</v>
      </c>
      <c r="M97" s="41">
        <f t="shared" si="48"/>
        <v>-2.9998593862170554E-4</v>
      </c>
      <c r="N97" s="41">
        <f t="shared" si="48"/>
        <v>-3.0767751599064292E-4</v>
      </c>
      <c r="O97" s="41">
        <f t="shared" si="48"/>
        <v>-3.1577389324808155E-4</v>
      </c>
      <c r="P97" s="41">
        <f t="shared" si="48"/>
        <v>-3.243078903434844E-4</v>
      </c>
      <c r="Q97" s="41">
        <f t="shared" si="48"/>
        <v>-3.3331597369745143E-4</v>
      </c>
      <c r="R97" s="41">
        <f t="shared" si="48"/>
        <v>-3.4283877709826403E-4</v>
      </c>
      <c r="S97" s="41">
        <f t="shared" si="48"/>
        <v>-3.5292171451627939E-4</v>
      </c>
      <c r="T97" s="41">
        <f t="shared" si="48"/>
        <v>-3.6361570433279388E-4</v>
      </c>
      <c r="U97" s="41">
        <f t="shared" si="48"/>
        <v>-3.7497802935386291E-4</v>
      </c>
      <c r="V97" s="41">
        <f t="shared" si="48"/>
        <v>-3.870733632683408E-4</v>
      </c>
      <c r="W97" s="41">
        <f t="shared" si="48"/>
        <v>-3.9997500238469981E-4</v>
      </c>
      <c r="X97" s="41">
        <f t="shared" si="48"/>
        <v>-4.1376635219347424E-4</v>
      </c>
      <c r="Y97" s="41">
        <f t="shared" si="48"/>
        <v>-4.2854273245747018E-4</v>
      </c>
      <c r="Z97" s="41">
        <f t="shared" si="48"/>
        <v>-4.4441358340527971E-4</v>
      </c>
      <c r="AA97" s="41">
        <f t="shared" si="48"/>
        <v>-4.6150518100966355E-4</v>
      </c>
      <c r="AB97" s="41">
        <f t="shared" si="48"/>
        <v>-4.7996400388387617E-4</v>
      </c>
      <c r="AC97" s="41">
        <f t="shared" si="48"/>
        <v>-4.9996094183631904E-4</v>
      </c>
      <c r="AD97" s="41">
        <f t="shared" si="48"/>
        <v>-5.2169660221952586E-4</v>
      </c>
      <c r="AE97" s="41">
        <f t="shared" si="48"/>
        <v>-5.4540806334190967E-4</v>
      </c>
      <c r="AF97" s="41">
        <f t="shared" si="48"/>
        <v>-5.7137755725346307E-4</v>
      </c>
      <c r="AG97" s="41">
        <f t="shared" si="48"/>
        <v>-5.999437571229967E-4</v>
      </c>
      <c r="AH97" s="41">
        <f t="shared" si="48"/>
        <v>-6.3151662869858662E-4</v>
      </c>
      <c r="AI97" s="41">
        <f t="shared" ref="AI97:BO97" si="49">$E25*($C25-1)/(1+AI$83*($C25-1))</f>
        <v>-6.6659723173923436E-4</v>
      </c>
      <c r="AJ97" s="41">
        <f t="shared" si="49"/>
        <v>-7.0580450941640466E-4</v>
      </c>
      <c r="AK97" s="41">
        <f t="shared" si="49"/>
        <v>-7.4991212256404923E-4</v>
      </c>
      <c r="AL97" s="41">
        <f t="shared" si="49"/>
        <v>-7.9990001578721635E-4</v>
      </c>
      <c r="AM97" s="41">
        <f t="shared" si="49"/>
        <v>-8.5702808037220056E-4</v>
      </c>
      <c r="AN97" s="41">
        <f t="shared" si="49"/>
        <v>-9.2294381056018393E-4</v>
      </c>
      <c r="AO97" s="41">
        <f t="shared" si="49"/>
        <v>-9.9984377954864421E-4</v>
      </c>
      <c r="AP97" s="41">
        <f t="shared" si="49"/>
        <v>-1.0907231783015012E-3</v>
      </c>
      <c r="AQ97" s="41">
        <f t="shared" si="49"/>
        <v>-1.1997750495784192E-3</v>
      </c>
      <c r="AR97" s="41">
        <f t="shared" si="49"/>
        <v>-1.3330556225478463E-3</v>
      </c>
      <c r="AS97" s="41">
        <f t="shared" si="49"/>
        <v>-1.4996485314377368E-3</v>
      </c>
      <c r="AT97" s="41">
        <f t="shared" si="49"/>
        <v>-1.7138266686721562E-3</v>
      </c>
      <c r="AU97" s="41">
        <f t="shared" si="49"/>
        <v>-1.9993752157986453E-3</v>
      </c>
      <c r="AV97" s="41">
        <f t="shared" si="49"/>
        <v>-2.3991003669577011E-3</v>
      </c>
      <c r="AW97" s="41">
        <f t="shared" si="49"/>
        <v>-2.6655560548463791E-3</v>
      </c>
      <c r="AX97" s="41">
        <f t="shared" si="49"/>
        <v>-2.9985944550875174E-3</v>
      </c>
      <c r="AY97" s="41">
        <f t="shared" si="49"/>
        <v>-3.4267357376722824E-3</v>
      </c>
      <c r="AZ97" s="41">
        <f t="shared" si="49"/>
        <v>-3.9975016436613635E-3</v>
      </c>
      <c r="BA97" s="41">
        <f t="shared" si="49"/>
        <v>-4.7964028162247084E-3</v>
      </c>
      <c r="BB97" s="41">
        <f t="shared" si="49"/>
        <v>-5.99438045319187E-3</v>
      </c>
      <c r="BC97" s="41">
        <f t="shared" si="49"/>
        <v>-7.9900128125337411E-3</v>
      </c>
      <c r="BD97" s="41">
        <f t="shared" si="49"/>
        <v>-1.1977542845938898E-2</v>
      </c>
      <c r="BE97" s="41">
        <f t="shared" si="49"/>
        <v>-1.5960101059909342E-2</v>
      </c>
      <c r="BF97" s="41">
        <f t="shared" si="49"/>
        <v>-2.3910339177663994E-2</v>
      </c>
      <c r="BG97" s="41">
        <f t="shared" si="49"/>
        <v>-2.6556020222352917E-2</v>
      </c>
      <c r="BH97" s="41">
        <f t="shared" si="49"/>
        <v>-2.9860035687135467E-2</v>
      </c>
      <c r="BI97" s="41">
        <f t="shared" si="49"/>
        <v>-3.4103025516092941E-2</v>
      </c>
      <c r="BJ97" s="41">
        <f t="shared" si="49"/>
        <v>-3.9751560917190565E-2</v>
      </c>
      <c r="BK97" s="41">
        <f t="shared" si="49"/>
        <v>-4.7642691567651219E-2</v>
      </c>
      <c r="BL97" s="41">
        <f t="shared" si="49"/>
        <v>-5.9442742620083894E-2</v>
      </c>
      <c r="BM97" s="41">
        <f t="shared" si="49"/>
        <v>-7.9012377767800873E-2</v>
      </c>
      <c r="BN97" s="41">
        <f t="shared" si="49"/>
        <v>-0.11779148235956199</v>
      </c>
      <c r="BO97" s="41">
        <f t="shared" si="49"/>
        <v>-0.23132557625380018</v>
      </c>
      <c r="BP97" s="41"/>
    </row>
    <row r="98" spans="2:68" x14ac:dyDescent="0.25">
      <c r="B98" s="46" t="s">
        <v>38</v>
      </c>
      <c r="C98" s="41">
        <f>SUM(C86:C97)</f>
        <v>1.0899688628982442</v>
      </c>
      <c r="D98" s="41">
        <f t="shared" ref="D98:AE98" si="50">SUM(D86:D97)</f>
        <v>1.0438370871219818</v>
      </c>
      <c r="E98" s="41">
        <f t="shared" si="50"/>
        <v>0.99894748084594032</v>
      </c>
      <c r="F98" s="41">
        <f t="shared" si="50"/>
        <v>0.95718246511849781</v>
      </c>
      <c r="G98" s="41">
        <f t="shared" si="50"/>
        <v>0.91806000935701493</v>
      </c>
      <c r="H98" s="41">
        <f t="shared" si="50"/>
        <v>0.8812090048873541</v>
      </c>
      <c r="I98" s="41">
        <f t="shared" si="50"/>
        <v>0.84633370948692677</v>
      </c>
      <c r="J98" s="41">
        <f t="shared" si="50"/>
        <v>0.81319173361083963</v>
      </c>
      <c r="K98" s="41">
        <f t="shared" si="50"/>
        <v>0.78157975163347282</v>
      </c>
      <c r="L98" s="41">
        <f t="shared" si="50"/>
        <v>0.75132383483950493</v>
      </c>
      <c r="M98" s="41">
        <f t="shared" si="50"/>
        <v>0.72227266505641996</v>
      </c>
      <c r="N98" s="41">
        <f t="shared" si="50"/>
        <v>0.69429260818737493</v>
      </c>
      <c r="O98" s="41">
        <f t="shared" si="50"/>
        <v>0.66726402534901708</v>
      </c>
      <c r="P98" s="41">
        <f t="shared" si="50"/>
        <v>0.64107842846871232</v>
      </c>
      <c r="Q98" s="41">
        <f t="shared" si="50"/>
        <v>0.61563622352587</v>
      </c>
      <c r="R98" s="41">
        <f t="shared" si="50"/>
        <v>0.59084486812210535</v>
      </c>
      <c r="S98" s="41">
        <f t="shared" si="50"/>
        <v>0.56661732244013774</v>
      </c>
      <c r="T98" s="41">
        <f t="shared" si="50"/>
        <v>0.54287070607027399</v>
      </c>
      <c r="U98" s="41">
        <f t="shared" si="50"/>
        <v>0.51952509465534757</v>
      </c>
      <c r="V98" s="41">
        <f t="shared" si="50"/>
        <v>0.49650240394938067</v>
      </c>
      <c r="W98" s="41">
        <f t="shared" si="50"/>
        <v>0.47372531714284066</v>
      </c>
      <c r="X98" s="41">
        <f t="shared" si="50"/>
        <v>0.4511162156021421</v>
      </c>
      <c r="Y98" s="41">
        <f t="shared" si="50"/>
        <v>0.42859607427302604</v>
      </c>
      <c r="Z98" s="41">
        <f t="shared" si="50"/>
        <v>0.40608328121614012</v>
      </c>
      <c r="AA98" s="41">
        <f t="shared" si="50"/>
        <v>0.38349233601586008</v>
      </c>
      <c r="AB98" s="41">
        <f t="shared" si="50"/>
        <v>0.36073237370910999</v>
      </c>
      <c r="AC98" s="41">
        <f t="shared" si="50"/>
        <v>0.33770544858833373</v>
      </c>
      <c r="AD98" s="41">
        <f t="shared" si="50"/>
        <v>0.31430449437436059</v>
      </c>
      <c r="AE98" s="41">
        <f t="shared" si="50"/>
        <v>0.29041085170020192</v>
      </c>
      <c r="AF98" s="41">
        <f>SUM(AF86:AF97)</f>
        <v>0.26589121732166765</v>
      </c>
      <c r="AG98" s="41">
        <f>SUM(AG86:AG97)</f>
        <v>0.24059381692642659</v>
      </c>
      <c r="AH98" s="41">
        <f>SUM(AH86:AH97)</f>
        <v>0.21434352697328091</v>
      </c>
      <c r="AI98" s="41">
        <f t="shared" ref="AI98:AP98" si="51">SUM(AI86:AI97)</f>
        <v>0.18693555816594551</v>
      </c>
      <c r="AJ98" s="41">
        <f t="shared" si="51"/>
        <v>0.15812714374307268</v>
      </c>
      <c r="AK98" s="41">
        <f t="shared" si="51"/>
        <v>0.12762641631565327</v>
      </c>
      <c r="AL98" s="41">
        <f t="shared" si="51"/>
        <v>9.5077250776800834E-2</v>
      </c>
      <c r="AM98" s="41">
        <f t="shared" si="51"/>
        <v>6.0038198846346633E-2</v>
      </c>
      <c r="AN98" s="41">
        <f t="shared" si="51"/>
        <v>2.1952564794017825E-2</v>
      </c>
      <c r="AO98" s="41">
        <f t="shared" si="51"/>
        <v>-1.9895160861381239E-2</v>
      </c>
      <c r="AP98" s="41">
        <f t="shared" si="51"/>
        <v>-6.6444528385767851E-2</v>
      </c>
      <c r="AQ98" s="41">
        <f t="shared" ref="AQ98" si="52">SUM(AQ86:AQ97)</f>
        <v>-0.11895998675733085</v>
      </c>
      <c r="AR98" s="41">
        <f t="shared" ref="AR98" si="53">SUM(AR86:AR97)</f>
        <v>-0.17919282378341972</v>
      </c>
      <c r="AS98" s="41">
        <f t="shared" ref="AS98" si="54">SUM(AS86:AS97)</f>
        <v>-0.24965306256002268</v>
      </c>
      <c r="AT98" s="41">
        <f t="shared" ref="AT98" si="55">SUM(AT86:AT97)</f>
        <v>-0.33409127453007142</v>
      </c>
      <c r="AU98" s="41">
        <f t="shared" ref="AU98" si="56">SUM(AU86:AU97)</f>
        <v>-0.43841114298388023</v>
      </c>
      <c r="AV98" s="41">
        <f t="shared" ref="AV98" si="57">SUM(AV86:AV97)</f>
        <v>-0.57255032656806093</v>
      </c>
      <c r="AW98" s="41">
        <f t="shared" ref="AW98" si="58">SUM(AW86:AW97)</f>
        <v>-0.65597207861750162</v>
      </c>
      <c r="AX98" s="41">
        <f t="shared" ref="AX98" si="59">SUM(AX86:AX97)</f>
        <v>-0.75481481214209722</v>
      </c>
      <c r="AY98" s="41">
        <f t="shared" ref="AY98" si="60">SUM(AY86:AY97)</f>
        <v>-0.87451759347115277</v>
      </c>
      <c r="AZ98" s="41">
        <f t="shared" ref="AZ98" si="61">SUM(AZ86:AZ97)</f>
        <v>-1.0235547623275978</v>
      </c>
      <c r="BA98" s="41">
        <f t="shared" ref="BA98" si="62">SUM(BA86:BA97)</f>
        <v>-1.2159804718493994</v>
      </c>
      <c r="BB98" s="41">
        <f t="shared" ref="BB98" si="63">SUM(BB86:BB97)</f>
        <v>-1.477149404504567</v>
      </c>
      <c r="BC98" s="41">
        <f t="shared" ref="BC98" si="64">SUM(BC86:BC97)</f>
        <v>-1.8586924719919096</v>
      </c>
      <c r="BD98" s="41">
        <f t="shared" ref="BD98" si="65">SUM(BD86:BD97)</f>
        <v>-2.4882030288383894</v>
      </c>
      <c r="BE98" s="41">
        <f t="shared" ref="BE98" si="66">SUM(BE86:BE97)</f>
        <v>-3.0029049093826412</v>
      </c>
      <c r="BF98" s="41">
        <f t="shared" ref="BF98" si="67">SUM(BF86:BF97)</f>
        <v>-3.8264614597107083</v>
      </c>
      <c r="BG98" s="41">
        <f t="shared" ref="BG98" si="68">SUM(BG86:BG97)</f>
        <v>-4.0593099607744172</v>
      </c>
      <c r="BH98" s="41">
        <f t="shared" ref="BH98" si="69">SUM(BH86:BH97)</f>
        <v>-4.3287683677093201</v>
      </c>
      <c r="BI98" s="41">
        <f t="shared" ref="BI98" si="70">SUM(BI86:BI97)</f>
        <v>-4.6458692898964769</v>
      </c>
      <c r="BJ98" s="41">
        <f t="shared" ref="BJ98" si="71">SUM(BJ86:BJ97)</f>
        <v>-5.0271246420674647</v>
      </c>
      <c r="BK98" s="41">
        <f t="shared" ref="BK98" si="72">SUM(BK86:BK97)</f>
        <v>-5.4987279160065716</v>
      </c>
      <c r="BL98" s="41">
        <f t="shared" ref="BL98" si="73">SUM(BL86:BL97)</f>
        <v>-6.105637728564691</v>
      </c>
      <c r="BM98" s="41">
        <f t="shared" ref="BM98:BN98" si="74">SUM(BM86:BM97)</f>
        <v>-6.9342703500913698</v>
      </c>
      <c r="BN98" s="41">
        <f t="shared" si="74"/>
        <v>-8.1831302506623551</v>
      </c>
      <c r="BO98" s="41">
        <f t="shared" ref="BO98" si="75">SUM(BO86:BO97)</f>
        <v>-10.488419473868483</v>
      </c>
      <c r="BP98" s="41"/>
    </row>
    <row r="99" spans="2:68" x14ac:dyDescent="0.25">
      <c r="B99" s="46" t="s">
        <v>38</v>
      </c>
      <c r="C99" s="41">
        <f>IF(C98&gt;0,C98,1)</f>
        <v>1.0899688628982442</v>
      </c>
      <c r="D99" s="41">
        <f t="shared" ref="D99:AE99" si="76">IF(D98&gt;0,D98,1)</f>
        <v>1.0438370871219818</v>
      </c>
      <c r="E99" s="41">
        <f t="shared" si="76"/>
        <v>0.99894748084594032</v>
      </c>
      <c r="F99" s="41">
        <f t="shared" si="76"/>
        <v>0.95718246511849781</v>
      </c>
      <c r="G99" s="41">
        <f t="shared" si="76"/>
        <v>0.91806000935701493</v>
      </c>
      <c r="H99" s="41">
        <f t="shared" si="76"/>
        <v>0.8812090048873541</v>
      </c>
      <c r="I99" s="41">
        <f t="shared" si="76"/>
        <v>0.84633370948692677</v>
      </c>
      <c r="J99" s="41">
        <f t="shared" si="76"/>
        <v>0.81319173361083963</v>
      </c>
      <c r="K99" s="41">
        <f t="shared" si="76"/>
        <v>0.78157975163347282</v>
      </c>
      <c r="L99" s="41">
        <f t="shared" si="76"/>
        <v>0.75132383483950493</v>
      </c>
      <c r="M99" s="41">
        <f t="shared" si="76"/>
        <v>0.72227266505641996</v>
      </c>
      <c r="N99" s="41">
        <f t="shared" si="76"/>
        <v>0.69429260818737493</v>
      </c>
      <c r="O99" s="41">
        <f t="shared" si="76"/>
        <v>0.66726402534901708</v>
      </c>
      <c r="P99" s="41">
        <f t="shared" si="76"/>
        <v>0.64107842846871232</v>
      </c>
      <c r="Q99" s="41">
        <f t="shared" si="76"/>
        <v>0.61563622352587</v>
      </c>
      <c r="R99" s="41">
        <f t="shared" si="76"/>
        <v>0.59084486812210535</v>
      </c>
      <c r="S99" s="41">
        <f t="shared" si="76"/>
        <v>0.56661732244013774</v>
      </c>
      <c r="T99" s="41">
        <f t="shared" si="76"/>
        <v>0.54287070607027399</v>
      </c>
      <c r="U99" s="41">
        <f t="shared" si="76"/>
        <v>0.51952509465534757</v>
      </c>
      <c r="V99" s="41">
        <f t="shared" si="76"/>
        <v>0.49650240394938067</v>
      </c>
      <c r="W99" s="41">
        <f t="shared" si="76"/>
        <v>0.47372531714284066</v>
      </c>
      <c r="X99" s="41">
        <f t="shared" si="76"/>
        <v>0.4511162156021421</v>
      </c>
      <c r="Y99" s="41">
        <f t="shared" si="76"/>
        <v>0.42859607427302604</v>
      </c>
      <c r="Z99" s="41">
        <f t="shared" si="76"/>
        <v>0.40608328121614012</v>
      </c>
      <c r="AA99" s="41">
        <f t="shared" si="76"/>
        <v>0.38349233601586008</v>
      </c>
      <c r="AB99" s="41">
        <f t="shared" si="76"/>
        <v>0.36073237370910999</v>
      </c>
      <c r="AC99" s="41">
        <f t="shared" si="76"/>
        <v>0.33770544858833373</v>
      </c>
      <c r="AD99" s="41">
        <f t="shared" si="76"/>
        <v>0.31430449437436059</v>
      </c>
      <c r="AE99" s="41">
        <f t="shared" si="76"/>
        <v>0.29041085170020192</v>
      </c>
      <c r="AF99" s="41">
        <f t="shared" ref="AF99:AQ99" si="77">IF(AF98&gt;0,AF98,1)</f>
        <v>0.26589121732166765</v>
      </c>
      <c r="AG99" s="41">
        <f t="shared" si="77"/>
        <v>0.24059381692642659</v>
      </c>
      <c r="AH99" s="41">
        <f t="shared" si="77"/>
        <v>0.21434352697328091</v>
      </c>
      <c r="AI99" s="41">
        <f t="shared" si="77"/>
        <v>0.18693555816594551</v>
      </c>
      <c r="AJ99" s="41">
        <f t="shared" si="77"/>
        <v>0.15812714374307268</v>
      </c>
      <c r="AK99" s="41">
        <f t="shared" si="77"/>
        <v>0.12762641631565327</v>
      </c>
      <c r="AL99" s="41">
        <f t="shared" si="77"/>
        <v>9.5077250776800834E-2</v>
      </c>
      <c r="AM99" s="41">
        <f t="shared" si="77"/>
        <v>6.0038198846346633E-2</v>
      </c>
      <c r="AN99" s="41">
        <f t="shared" si="77"/>
        <v>2.1952564794017825E-2</v>
      </c>
      <c r="AO99" s="41">
        <f t="shared" si="77"/>
        <v>1</v>
      </c>
      <c r="AP99" s="41">
        <f t="shared" si="77"/>
        <v>1</v>
      </c>
      <c r="AQ99" s="41">
        <f t="shared" si="77"/>
        <v>1</v>
      </c>
      <c r="AR99" s="41">
        <f t="shared" ref="AR99" si="78">IF(AR98&gt;0,AR98,1)</f>
        <v>1</v>
      </c>
      <c r="AS99" s="41">
        <f t="shared" ref="AS99" si="79">IF(AS98&gt;0,AS98,1)</f>
        <v>1</v>
      </c>
      <c r="AT99" s="41">
        <f t="shared" ref="AT99" si="80">IF(AT98&gt;0,AT98,1)</f>
        <v>1</v>
      </c>
      <c r="AU99" s="41">
        <f t="shared" ref="AU99" si="81">IF(AU98&gt;0,AU98,1)</f>
        <v>1</v>
      </c>
      <c r="AV99" s="41">
        <f t="shared" ref="AV99" si="82">IF(AV98&gt;0,AV98,1)</f>
        <v>1</v>
      </c>
      <c r="AW99" s="41">
        <f t="shared" ref="AW99" si="83">IF(AW98&gt;0,AW98,1)</f>
        <v>1</v>
      </c>
      <c r="AX99" s="41">
        <f t="shared" ref="AX99" si="84">IF(AX98&gt;0,AX98,1)</f>
        <v>1</v>
      </c>
      <c r="AY99" s="41">
        <f t="shared" ref="AY99" si="85">IF(AY98&gt;0,AY98,1)</f>
        <v>1</v>
      </c>
      <c r="AZ99" s="41">
        <f t="shared" ref="AZ99" si="86">IF(AZ98&gt;0,AZ98,1)</f>
        <v>1</v>
      </c>
      <c r="BA99" s="41">
        <f t="shared" ref="BA99" si="87">IF(BA98&gt;0,BA98,1)</f>
        <v>1</v>
      </c>
      <c r="BB99" s="41">
        <f t="shared" ref="BB99" si="88">IF(BB98&gt;0,BB98,1)</f>
        <v>1</v>
      </c>
      <c r="BC99" s="41">
        <f t="shared" ref="BC99" si="89">IF(BC98&gt;0,BC98,1)</f>
        <v>1</v>
      </c>
      <c r="BD99" s="41">
        <f t="shared" ref="BD99" si="90">IF(BD98&gt;0,BD98,1)</f>
        <v>1</v>
      </c>
      <c r="BE99" s="41">
        <f t="shared" ref="BE99" si="91">IF(BE98&gt;0,BE98,1)</f>
        <v>1</v>
      </c>
      <c r="BF99" s="41">
        <f t="shared" ref="BF99:BO99" si="92">IF(BF98&gt;0,BF98,1)</f>
        <v>1</v>
      </c>
      <c r="BG99" s="41">
        <f t="shared" si="92"/>
        <v>1</v>
      </c>
      <c r="BH99" s="41">
        <f t="shared" si="92"/>
        <v>1</v>
      </c>
      <c r="BI99" s="41">
        <f t="shared" si="92"/>
        <v>1</v>
      </c>
      <c r="BJ99" s="41">
        <f t="shared" si="92"/>
        <v>1</v>
      </c>
      <c r="BK99" s="41">
        <f t="shared" si="92"/>
        <v>1</v>
      </c>
      <c r="BL99" s="41">
        <f t="shared" si="92"/>
        <v>1</v>
      </c>
      <c r="BM99" s="41">
        <f t="shared" si="92"/>
        <v>1</v>
      </c>
      <c r="BN99" s="41">
        <f t="shared" si="92"/>
        <v>1</v>
      </c>
      <c r="BO99" s="41">
        <f t="shared" si="92"/>
        <v>1</v>
      </c>
      <c r="BP99" s="41">
        <f>MIN(C99:BO99)</f>
        <v>2.1952564794017825E-2</v>
      </c>
    </row>
    <row r="100" spans="2:68" x14ac:dyDescent="0.25">
      <c r="D100"/>
      <c r="E100"/>
      <c r="F100"/>
      <c r="G100"/>
      <c r="H100"/>
      <c r="I100"/>
      <c r="J100"/>
    </row>
    <row r="101" spans="2:68" x14ac:dyDescent="0.25">
      <c r="D101"/>
      <c r="E101"/>
      <c r="F101"/>
      <c r="G101"/>
      <c r="H101"/>
      <c r="I101"/>
      <c r="J101"/>
    </row>
    <row r="103" spans="2:68" x14ac:dyDescent="0.25">
      <c r="B103" s="1" t="s">
        <v>78</v>
      </c>
    </row>
    <row r="104" spans="2:68" x14ac:dyDescent="0.25">
      <c r="B104" s="25" t="s">
        <v>79</v>
      </c>
    </row>
    <row r="105" spans="2:68" x14ac:dyDescent="0.25">
      <c r="B105" t="s">
        <v>80</v>
      </c>
    </row>
    <row r="106" spans="2:68" x14ac:dyDescent="0.25">
      <c r="B106" t="s">
        <v>81</v>
      </c>
    </row>
    <row r="107" spans="2:68" x14ac:dyDescent="0.25">
      <c r="B107" t="s">
        <v>82</v>
      </c>
    </row>
    <row r="108" spans="2:68" x14ac:dyDescent="0.25">
      <c r="B108" t="s">
        <v>83</v>
      </c>
    </row>
    <row r="109" spans="2:68" x14ac:dyDescent="0.25">
      <c r="B109" t="s">
        <v>84</v>
      </c>
    </row>
    <row r="110" spans="2:68" x14ac:dyDescent="0.25">
      <c r="B110" t="s">
        <v>85</v>
      </c>
    </row>
    <row r="111" spans="2:68" x14ac:dyDescent="0.25">
      <c r="B111" t="s">
        <v>86</v>
      </c>
    </row>
    <row r="112" spans="2:68" x14ac:dyDescent="0.25">
      <c r="B112" t="s">
        <v>87</v>
      </c>
    </row>
    <row r="113" spans="1:15" x14ac:dyDescent="0.25">
      <c r="B113" t="s">
        <v>88</v>
      </c>
    </row>
    <row r="114" spans="1:15" x14ac:dyDescent="0.25">
      <c r="B114" t="s">
        <v>89</v>
      </c>
    </row>
    <row r="115" spans="1:15" s="5" customFormat="1" x14ac:dyDescent="0.25">
      <c r="A115"/>
      <c r="B115" t="s">
        <v>90</v>
      </c>
      <c r="K115"/>
      <c r="L115"/>
      <c r="M115"/>
      <c r="N115"/>
      <c r="O115"/>
    </row>
    <row r="116" spans="1:15" s="5" customFormat="1" x14ac:dyDescent="0.25">
      <c r="A116"/>
      <c r="B116" t="s">
        <v>91</v>
      </c>
      <c r="K116"/>
      <c r="L116"/>
      <c r="M116"/>
      <c r="N116"/>
      <c r="O116"/>
    </row>
    <row r="117" spans="1:15" s="5" customFormat="1" x14ac:dyDescent="0.25">
      <c r="A117"/>
      <c r="B117" t="s">
        <v>92</v>
      </c>
      <c r="K117"/>
      <c r="L117"/>
      <c r="M117"/>
      <c r="N117"/>
      <c r="O117"/>
    </row>
    <row r="118" spans="1:15" s="5" customFormat="1" x14ac:dyDescent="0.25">
      <c r="A118"/>
      <c r="B118" t="s">
        <v>93</v>
      </c>
      <c r="K118"/>
      <c r="L118"/>
      <c r="M118"/>
      <c r="N118"/>
      <c r="O118"/>
    </row>
    <row r="119" spans="1:15" s="5" customFormat="1" x14ac:dyDescent="0.25">
      <c r="A119"/>
      <c r="B119" t="s">
        <v>94</v>
      </c>
      <c r="K119"/>
      <c r="L119"/>
      <c r="M119"/>
      <c r="N119"/>
      <c r="O119"/>
    </row>
    <row r="120" spans="1:15" s="5" customFormat="1" x14ac:dyDescent="0.25">
      <c r="A120"/>
      <c r="B120" t="s">
        <v>2</v>
      </c>
      <c r="C120" s="5" t="s">
        <v>95</v>
      </c>
      <c r="D120" s="5" t="s">
        <v>96</v>
      </c>
      <c r="K120"/>
      <c r="L120"/>
      <c r="M120"/>
      <c r="N120"/>
      <c r="O120"/>
    </row>
    <row r="121" spans="1:15" s="5" customFormat="1" x14ac:dyDescent="0.25">
      <c r="A121"/>
      <c r="B121" t="s">
        <v>6</v>
      </c>
      <c r="C121" s="5">
        <v>470</v>
      </c>
      <c r="D121" s="5">
        <v>109</v>
      </c>
      <c r="K121"/>
      <c r="L121"/>
      <c r="M121"/>
      <c r="N121"/>
      <c r="O121"/>
    </row>
    <row r="122" spans="1:15" s="5" customFormat="1" x14ac:dyDescent="0.25">
      <c r="A122"/>
      <c r="B122" t="s">
        <v>7</v>
      </c>
      <c r="C122" s="5">
        <v>652</v>
      </c>
      <c r="D122" s="5">
        <v>194</v>
      </c>
      <c r="K122"/>
      <c r="L122"/>
      <c r="M122"/>
      <c r="N122"/>
      <c r="O122"/>
    </row>
    <row r="123" spans="1:15" s="5" customFormat="1" x14ac:dyDescent="0.25">
      <c r="A123"/>
      <c r="B123" t="s">
        <v>8</v>
      </c>
      <c r="C123" s="5">
        <v>1136</v>
      </c>
      <c r="D123" s="5">
        <v>331</v>
      </c>
      <c r="K123"/>
      <c r="L123"/>
      <c r="M123"/>
      <c r="N123"/>
      <c r="O123"/>
    </row>
    <row r="124" spans="1:15" s="5" customFormat="1" x14ac:dyDescent="0.25">
      <c r="A124"/>
      <c r="B124" t="s">
        <v>31</v>
      </c>
      <c r="C124" s="5">
        <v>300</v>
      </c>
      <c r="D124" s="5">
        <v>94</v>
      </c>
      <c r="K124"/>
      <c r="L124"/>
      <c r="M124"/>
      <c r="N124"/>
      <c r="O124"/>
    </row>
    <row r="125" spans="1:15" s="5" customFormat="1" x14ac:dyDescent="0.25">
      <c r="A125"/>
      <c r="B125" t="s">
        <v>75</v>
      </c>
      <c r="C125" s="5">
        <v>1145</v>
      </c>
      <c r="D125" s="5">
        <v>303</v>
      </c>
      <c r="K125"/>
      <c r="L125"/>
      <c r="M125"/>
      <c r="N125"/>
      <c r="O125"/>
    </row>
    <row r="126" spans="1:15" s="5" customFormat="1" x14ac:dyDescent="0.25">
      <c r="A126"/>
      <c r="B126" t="s">
        <v>33</v>
      </c>
      <c r="C126" s="5">
        <v>1799</v>
      </c>
      <c r="D126" s="5">
        <v>416</v>
      </c>
      <c r="K126"/>
      <c r="L126"/>
      <c r="M126"/>
      <c r="N126"/>
      <c r="O126"/>
    </row>
    <row r="127" spans="1:15" s="5" customFormat="1" x14ac:dyDescent="0.25">
      <c r="A127"/>
      <c r="B127" t="s">
        <v>97</v>
      </c>
      <c r="C127" s="5">
        <v>2037</v>
      </c>
      <c r="D127" s="5">
        <v>471</v>
      </c>
      <c r="K127"/>
      <c r="L127"/>
      <c r="M127"/>
      <c r="N127"/>
      <c r="O127"/>
    </row>
    <row r="128" spans="1:15" s="5" customFormat="1" x14ac:dyDescent="0.25">
      <c r="A128"/>
      <c r="B128" t="s">
        <v>98</v>
      </c>
      <c r="C128" s="5">
        <v>2153</v>
      </c>
      <c r="D128" s="5">
        <v>491</v>
      </c>
      <c r="K128"/>
      <c r="L128"/>
      <c r="M128"/>
      <c r="N128"/>
      <c r="O128"/>
    </row>
    <row r="129" spans="1:15" s="5" customFormat="1" x14ac:dyDescent="0.25">
      <c r="A129"/>
      <c r="B129" t="s">
        <v>99</v>
      </c>
      <c r="C129" s="5">
        <v>2368</v>
      </c>
      <c r="D129" s="5">
        <v>542</v>
      </c>
      <c r="K129"/>
      <c r="L129"/>
      <c r="M129"/>
      <c r="N129"/>
      <c r="O129"/>
    </row>
    <row r="130" spans="1:15" s="5" customFormat="1" x14ac:dyDescent="0.25">
      <c r="A130"/>
      <c r="B130" t="s">
        <v>100</v>
      </c>
      <c r="C130" s="5">
        <v>2480</v>
      </c>
      <c r="D130" s="5">
        <v>557</v>
      </c>
      <c r="K130"/>
      <c r="L130"/>
      <c r="M130"/>
      <c r="N130"/>
      <c r="O130"/>
    </row>
    <row r="131" spans="1:15" s="5" customFormat="1" x14ac:dyDescent="0.25">
      <c r="A131"/>
      <c r="B131" t="s">
        <v>101</v>
      </c>
      <c r="C131" s="5">
        <v>2738</v>
      </c>
      <c r="D131" s="5">
        <v>610</v>
      </c>
      <c r="K131"/>
      <c r="L131"/>
      <c r="M131"/>
      <c r="N131"/>
      <c r="O131"/>
    </row>
    <row r="132" spans="1:15" s="5" customFormat="1" x14ac:dyDescent="0.25">
      <c r="A132"/>
      <c r="B132" t="s">
        <v>102</v>
      </c>
      <c r="C132" s="5">
        <v>2780</v>
      </c>
      <c r="D132" s="5">
        <v>616</v>
      </c>
      <c r="K132"/>
      <c r="L132"/>
      <c r="M132"/>
      <c r="N132"/>
      <c r="O132"/>
    </row>
    <row r="133" spans="1:15" s="5" customFormat="1" x14ac:dyDescent="0.25">
      <c r="A133"/>
      <c r="B133" t="s">
        <v>103</v>
      </c>
      <c r="C133" s="5">
        <v>3068</v>
      </c>
      <c r="D133" s="5">
        <v>669</v>
      </c>
      <c r="K133"/>
      <c r="L133"/>
      <c r="M133"/>
      <c r="N133"/>
      <c r="O133"/>
    </row>
    <row r="134" spans="1:15" s="5" customFormat="1" x14ac:dyDescent="0.25">
      <c r="A134"/>
      <c r="B134" t="s">
        <v>104</v>
      </c>
      <c r="C134" s="5">
        <v>3335</v>
      </c>
      <c r="D134" s="5">
        <v>718</v>
      </c>
      <c r="K134"/>
      <c r="L134"/>
      <c r="M134"/>
      <c r="N134"/>
      <c r="O134"/>
    </row>
    <row r="135" spans="1:15" s="5" customFormat="1" x14ac:dyDescent="0.25">
      <c r="A135"/>
      <c r="B135" t="s">
        <v>105</v>
      </c>
      <c r="C135" s="5">
        <v>3590</v>
      </c>
      <c r="D135" s="5">
        <v>763</v>
      </c>
      <c r="K135"/>
      <c r="L135"/>
      <c r="M135"/>
      <c r="N135"/>
      <c r="O135"/>
    </row>
    <row r="136" spans="1:15" s="5" customFormat="1" x14ac:dyDescent="0.25">
      <c r="A136"/>
      <c r="B136" t="s">
        <v>106</v>
      </c>
      <c r="C136" s="5">
        <v>3828</v>
      </c>
      <c r="D136" s="5">
        <v>805</v>
      </c>
      <c r="K136"/>
      <c r="L136"/>
      <c r="M136"/>
      <c r="N136"/>
      <c r="O136"/>
    </row>
    <row r="137" spans="1:15" s="5" customFormat="1" x14ac:dyDescent="0.25">
      <c r="A137"/>
      <c r="B137" t="s">
        <v>107</v>
      </c>
      <c r="K137"/>
      <c r="L137"/>
      <c r="M137"/>
      <c r="N137"/>
      <c r="O137"/>
    </row>
    <row r="138" spans="1:15" s="5" customFormat="1" x14ac:dyDescent="0.25">
      <c r="A138"/>
      <c r="B138" t="s">
        <v>108</v>
      </c>
      <c r="K138"/>
      <c r="L138"/>
      <c r="M138"/>
      <c r="N138"/>
      <c r="O138"/>
    </row>
    <row r="139" spans="1:15" s="5" customFormat="1" x14ac:dyDescent="0.25">
      <c r="A139"/>
      <c r="B139" t="s">
        <v>109</v>
      </c>
      <c r="K139"/>
      <c r="L139"/>
      <c r="M139"/>
      <c r="N139"/>
      <c r="O139"/>
    </row>
    <row r="140" spans="1:15" s="5" customFormat="1" x14ac:dyDescent="0.25">
      <c r="A140"/>
      <c r="B140" t="s">
        <v>110</v>
      </c>
      <c r="K140"/>
      <c r="L140"/>
      <c r="M140"/>
      <c r="N140"/>
      <c r="O140"/>
    </row>
    <row r="141" spans="1:15" s="5" customFormat="1" x14ac:dyDescent="0.25">
      <c r="A141"/>
      <c r="B141" t="s">
        <v>111</v>
      </c>
      <c r="K141"/>
      <c r="L141"/>
      <c r="M141"/>
      <c r="N141"/>
      <c r="O141"/>
    </row>
    <row r="142" spans="1:15" s="5" customFormat="1" x14ac:dyDescent="0.25">
      <c r="A142"/>
      <c r="B142" t="s">
        <v>112</v>
      </c>
      <c r="K142"/>
      <c r="L142"/>
      <c r="M142"/>
      <c r="N142"/>
      <c r="O142"/>
    </row>
    <row r="143" spans="1:15" s="5" customFormat="1" x14ac:dyDescent="0.25">
      <c r="A143"/>
      <c r="B143" t="s">
        <v>113</v>
      </c>
      <c r="K143"/>
      <c r="L143"/>
      <c r="M143"/>
      <c r="N143"/>
      <c r="O143"/>
    </row>
    <row r="144" spans="1:15" s="5" customFormat="1" x14ac:dyDescent="0.25">
      <c r="A144"/>
      <c r="B144" t="s">
        <v>114</v>
      </c>
      <c r="K144"/>
      <c r="L144"/>
      <c r="M144"/>
      <c r="N144"/>
      <c r="O144"/>
    </row>
    <row r="145" spans="1:15" s="5" customFormat="1" x14ac:dyDescent="0.25">
      <c r="A145"/>
      <c r="B145" t="s">
        <v>115</v>
      </c>
      <c r="K145"/>
      <c r="L145"/>
      <c r="M145"/>
      <c r="N145"/>
      <c r="O145"/>
    </row>
    <row r="147" spans="1:15" s="5" customFormat="1" x14ac:dyDescent="0.25">
      <c r="A147"/>
      <c r="B147" t="s">
        <v>116</v>
      </c>
      <c r="K147"/>
      <c r="L147"/>
      <c r="M147"/>
      <c r="N147"/>
      <c r="O147"/>
    </row>
    <row r="148" spans="1:15" s="5" customFormat="1" x14ac:dyDescent="0.25">
      <c r="A148"/>
      <c r="B148" t="s">
        <v>117</v>
      </c>
      <c r="K148"/>
      <c r="L148"/>
      <c r="M148"/>
      <c r="N148"/>
      <c r="O148"/>
    </row>
    <row r="149" spans="1:15" s="5" customFormat="1" x14ac:dyDescent="0.25">
      <c r="A149"/>
      <c r="B149" t="s">
        <v>118</v>
      </c>
      <c r="K149"/>
      <c r="L149"/>
      <c r="M149"/>
      <c r="N149"/>
      <c r="O149"/>
    </row>
    <row r="150" spans="1:15" s="5" customFormat="1" x14ac:dyDescent="0.25">
      <c r="A150"/>
      <c r="B150" t="s">
        <v>119</v>
      </c>
      <c r="K150"/>
      <c r="L150"/>
      <c r="M150"/>
      <c r="N150"/>
      <c r="O150"/>
    </row>
    <row r="152" spans="1:15" s="5" customFormat="1" x14ac:dyDescent="0.25">
      <c r="A152"/>
      <c r="B152" t="s">
        <v>120</v>
      </c>
      <c r="K152"/>
      <c r="L152"/>
      <c r="M152"/>
      <c r="N152"/>
      <c r="O152"/>
    </row>
    <row r="153" spans="1:15" s="5" customFormat="1" x14ac:dyDescent="0.25">
      <c r="A153"/>
      <c r="B153" t="s">
        <v>121</v>
      </c>
      <c r="K153"/>
      <c r="L153"/>
      <c r="M153"/>
      <c r="N153"/>
      <c r="O153"/>
    </row>
    <row r="154" spans="1:15" s="5" customFormat="1" x14ac:dyDescent="0.25">
      <c r="A154"/>
      <c r="B154" t="s">
        <v>122</v>
      </c>
      <c r="K154"/>
      <c r="L154"/>
      <c r="M154"/>
      <c r="N154"/>
      <c r="O154"/>
    </row>
    <row r="155" spans="1:15" s="5" customFormat="1" x14ac:dyDescent="0.25">
      <c r="A155"/>
      <c r="B155" t="s">
        <v>123</v>
      </c>
      <c r="K155"/>
      <c r="L155"/>
      <c r="M155"/>
      <c r="N155"/>
      <c r="O155"/>
    </row>
    <row r="156" spans="1:15" s="5" customFormat="1" x14ac:dyDescent="0.25">
      <c r="A156"/>
      <c r="B156" t="s">
        <v>124</v>
      </c>
      <c r="K156"/>
      <c r="L156"/>
      <c r="M156"/>
      <c r="N156"/>
      <c r="O156"/>
    </row>
    <row r="157" spans="1:15" s="5" customFormat="1" x14ac:dyDescent="0.25">
      <c r="A157"/>
      <c r="B157" t="s">
        <v>125</v>
      </c>
      <c r="K157"/>
      <c r="L157"/>
      <c r="M157"/>
      <c r="N157"/>
      <c r="O157"/>
    </row>
    <row r="158" spans="1:15" s="5" customFormat="1" x14ac:dyDescent="0.25">
      <c r="A158"/>
      <c r="B158" t="s">
        <v>126</v>
      </c>
      <c r="K158"/>
      <c r="L158"/>
      <c r="M158"/>
      <c r="N158"/>
      <c r="O158"/>
    </row>
    <row r="159" spans="1:15" s="5" customFormat="1" x14ac:dyDescent="0.25">
      <c r="A159"/>
      <c r="B159" t="s">
        <v>2</v>
      </c>
      <c r="C159" s="5" t="s">
        <v>127</v>
      </c>
      <c r="K159"/>
      <c r="L159"/>
      <c r="M159"/>
      <c r="N159"/>
      <c r="O159"/>
    </row>
    <row r="160" spans="1:15" s="5" customFormat="1" x14ac:dyDescent="0.25">
      <c r="A160"/>
      <c r="B160" t="s">
        <v>7</v>
      </c>
      <c r="C160" s="5">
        <v>8.9999999999999993E-3</v>
      </c>
      <c r="K160"/>
      <c r="L160"/>
      <c r="M160"/>
      <c r="N160"/>
      <c r="O160"/>
    </row>
    <row r="161" spans="1:15" s="5" customFormat="1" x14ac:dyDescent="0.25">
      <c r="A161"/>
      <c r="B161" t="s">
        <v>6</v>
      </c>
      <c r="C161" s="5">
        <v>3.0000000000000001E-3</v>
      </c>
      <c r="K161"/>
      <c r="L161"/>
      <c r="M161"/>
      <c r="N161"/>
      <c r="O161"/>
    </row>
    <row r="162" spans="1:15" s="5" customFormat="1" x14ac:dyDescent="0.25">
      <c r="A162"/>
      <c r="B162" t="s">
        <v>31</v>
      </c>
      <c r="C162" s="5">
        <v>0.53500000000000003</v>
      </c>
      <c r="K162"/>
      <c r="L162"/>
      <c r="M162"/>
      <c r="N162"/>
      <c r="O162"/>
    </row>
    <row r="163" spans="1:15" s="5" customFormat="1" x14ac:dyDescent="0.25">
      <c r="A163"/>
      <c r="B163" t="s">
        <v>75</v>
      </c>
      <c r="C163" s="5">
        <v>0.115</v>
      </c>
      <c r="K163"/>
      <c r="L163"/>
      <c r="M163"/>
      <c r="N163"/>
      <c r="O163"/>
    </row>
    <row r="164" spans="1:15" s="5" customFormat="1" x14ac:dyDescent="0.25">
      <c r="A164"/>
      <c r="B164" t="s">
        <v>33</v>
      </c>
      <c r="C164" s="5">
        <v>8.7999999999999995E-2</v>
      </c>
      <c r="K164"/>
      <c r="L164"/>
      <c r="M164"/>
      <c r="N164"/>
      <c r="O164"/>
    </row>
    <row r="165" spans="1:15" s="5" customFormat="1" x14ac:dyDescent="0.25">
      <c r="A165"/>
      <c r="B165" t="s">
        <v>97</v>
      </c>
      <c r="C165" s="5">
        <v>2.3E-2</v>
      </c>
      <c r="K165"/>
      <c r="L165"/>
      <c r="M165"/>
      <c r="N165"/>
      <c r="O165"/>
    </row>
    <row r="166" spans="1:15" s="5" customFormat="1" x14ac:dyDescent="0.25">
      <c r="A166"/>
      <c r="B166" t="s">
        <v>98</v>
      </c>
      <c r="C166" s="5">
        <v>2.3E-2</v>
      </c>
      <c r="K166"/>
      <c r="L166"/>
      <c r="M166"/>
      <c r="N166"/>
      <c r="O166"/>
    </row>
    <row r="167" spans="1:15" s="5" customFormat="1" x14ac:dyDescent="0.25">
      <c r="A167"/>
      <c r="B167" t="s">
        <v>99</v>
      </c>
      <c r="C167" s="5">
        <v>1.4999999999999999E-2</v>
      </c>
      <c r="K167"/>
      <c r="L167"/>
      <c r="M167"/>
      <c r="N167"/>
      <c r="O167"/>
    </row>
    <row r="168" spans="1:15" s="5" customFormat="1" x14ac:dyDescent="0.25">
      <c r="A168"/>
      <c r="B168" t="s">
        <v>100</v>
      </c>
      <c r="C168" s="5">
        <v>1.4999999999999999E-2</v>
      </c>
      <c r="K168"/>
      <c r="L168"/>
      <c r="M168"/>
      <c r="N168"/>
      <c r="O168"/>
    </row>
    <row r="169" spans="1:15" s="5" customFormat="1" x14ac:dyDescent="0.25">
      <c r="A169"/>
      <c r="B169" t="s">
        <v>1</v>
      </c>
      <c r="C169" s="5">
        <v>1.4999999999999999E-2</v>
      </c>
      <c r="K169"/>
      <c r="L169"/>
      <c r="M169"/>
      <c r="N169"/>
      <c r="O169"/>
    </row>
    <row r="170" spans="1:15" s="5" customFormat="1" x14ac:dyDescent="0.25">
      <c r="A170"/>
      <c r="B170" t="s">
        <v>15</v>
      </c>
      <c r="C170" s="5">
        <v>0.159</v>
      </c>
      <c r="K170"/>
      <c r="L170"/>
      <c r="M170"/>
      <c r="N170"/>
      <c r="O170"/>
    </row>
    <row r="171" spans="1:15" s="5" customFormat="1" x14ac:dyDescent="0.25">
      <c r="A171"/>
      <c r="B171" t="s">
        <v>128</v>
      </c>
      <c r="K171"/>
      <c r="L171"/>
      <c r="M171"/>
      <c r="N171"/>
      <c r="O171"/>
    </row>
    <row r="172" spans="1:15" s="5" customFormat="1" x14ac:dyDescent="0.25">
      <c r="A172"/>
      <c r="B172" t="s">
        <v>129</v>
      </c>
      <c r="K172"/>
      <c r="L172"/>
      <c r="M172"/>
      <c r="N172"/>
      <c r="O172"/>
    </row>
    <row r="173" spans="1:15" s="5" customFormat="1" x14ac:dyDescent="0.25">
      <c r="A173"/>
      <c r="B173" t="s">
        <v>130</v>
      </c>
      <c r="K173"/>
      <c r="L173"/>
      <c r="M173"/>
      <c r="N173"/>
      <c r="O173"/>
    </row>
    <row r="174" spans="1:15" s="5" customFormat="1" x14ac:dyDescent="0.25">
      <c r="A174"/>
      <c r="B174" t="s">
        <v>131</v>
      </c>
      <c r="K174"/>
      <c r="L174"/>
      <c r="M174"/>
      <c r="N174"/>
      <c r="O174"/>
    </row>
    <row r="175" spans="1:15" s="5" customFormat="1" x14ac:dyDescent="0.25">
      <c r="A175"/>
      <c r="B175" t="s">
        <v>132</v>
      </c>
      <c r="K175"/>
      <c r="L175"/>
      <c r="M175"/>
      <c r="N175"/>
      <c r="O175"/>
    </row>
    <row r="176" spans="1:15" s="5" customFormat="1" x14ac:dyDescent="0.25">
      <c r="A176"/>
      <c r="B176" t="s">
        <v>133</v>
      </c>
      <c r="K176"/>
      <c r="L176"/>
      <c r="M176"/>
      <c r="N176"/>
      <c r="O176"/>
    </row>
    <row r="177" spans="1:15" s="5" customFormat="1" x14ac:dyDescent="0.25">
      <c r="A177"/>
      <c r="B177" t="s">
        <v>113</v>
      </c>
      <c r="K177"/>
      <c r="L177"/>
      <c r="M177"/>
      <c r="N177"/>
      <c r="O177"/>
    </row>
    <row r="178" spans="1:15" s="5" customFormat="1" x14ac:dyDescent="0.25">
      <c r="A178"/>
      <c r="B178" t="s">
        <v>134</v>
      </c>
      <c r="K178"/>
      <c r="L178"/>
      <c r="M178"/>
      <c r="N178"/>
      <c r="O178"/>
    </row>
    <row r="179" spans="1:15" s="5" customFormat="1" x14ac:dyDescent="0.25">
      <c r="A179"/>
      <c r="B179" t="s">
        <v>135</v>
      </c>
      <c r="K179"/>
      <c r="L179"/>
      <c r="M179"/>
      <c r="N179"/>
      <c r="O179"/>
    </row>
    <row r="180" spans="1:15" s="5" customFormat="1" x14ac:dyDescent="0.25">
      <c r="A180"/>
      <c r="B180" t="s">
        <v>116</v>
      </c>
      <c r="K180"/>
      <c r="L180"/>
      <c r="M180"/>
      <c r="N180"/>
      <c r="O180"/>
    </row>
    <row r="181" spans="1:15" s="5" customFormat="1" x14ac:dyDescent="0.25">
      <c r="A181"/>
      <c r="B181" t="s">
        <v>136</v>
      </c>
      <c r="K181"/>
      <c r="L181"/>
      <c r="M181"/>
      <c r="N181"/>
      <c r="O181"/>
    </row>
    <row r="182" spans="1:15" s="5" customFormat="1" x14ac:dyDescent="0.25">
      <c r="A182"/>
      <c r="B182" t="s">
        <v>2</v>
      </c>
      <c r="C182" s="5" t="s">
        <v>137</v>
      </c>
      <c r="D182" s="5" t="s">
        <v>138</v>
      </c>
      <c r="E182" s="5" t="s">
        <v>139</v>
      </c>
      <c r="F182" s="5" t="s">
        <v>140</v>
      </c>
      <c r="K182"/>
      <c r="L182"/>
      <c r="M182"/>
      <c r="N182"/>
      <c r="O182"/>
    </row>
    <row r="183" spans="1:15" s="5" customFormat="1" x14ac:dyDescent="0.25">
      <c r="A183"/>
      <c r="B183" t="s">
        <v>7</v>
      </c>
      <c r="C183" s="5">
        <v>1071</v>
      </c>
      <c r="D183" s="5">
        <v>547.9</v>
      </c>
      <c r="E183" s="5">
        <v>0.22500000000000001</v>
      </c>
      <c r="F183" s="5">
        <v>2.0922999999999998</v>
      </c>
      <c r="K183"/>
      <c r="L183"/>
      <c r="M183"/>
      <c r="N183"/>
      <c r="O183"/>
    </row>
    <row r="184" spans="1:15" s="5" customFormat="1" x14ac:dyDescent="0.25">
      <c r="A184"/>
      <c r="B184" t="s">
        <v>6</v>
      </c>
      <c r="C184" s="5">
        <v>493</v>
      </c>
      <c r="D184" s="5">
        <v>227.6</v>
      </c>
      <c r="E184" s="5">
        <v>0.04</v>
      </c>
      <c r="F184" s="5">
        <v>16.343</v>
      </c>
      <c r="K184"/>
      <c r="L184"/>
      <c r="M184"/>
      <c r="N184"/>
      <c r="O184"/>
    </row>
    <row r="185" spans="1:15" s="5" customFormat="1" x14ac:dyDescent="0.25">
      <c r="A185"/>
      <c r="B185" t="s">
        <v>31</v>
      </c>
      <c r="C185" s="5">
        <v>667.8</v>
      </c>
      <c r="D185" s="5">
        <v>343.37</v>
      </c>
      <c r="E185" s="5">
        <v>1.04E-2</v>
      </c>
      <c r="F185" s="5">
        <v>7.1550000000000002</v>
      </c>
      <c r="K185"/>
      <c r="L185"/>
      <c r="M185"/>
      <c r="N185"/>
      <c r="O185"/>
    </row>
    <row r="186" spans="1:15" s="5" customFormat="1" x14ac:dyDescent="0.25">
      <c r="A186"/>
      <c r="B186" t="s">
        <v>75</v>
      </c>
      <c r="C186" s="5">
        <v>707.8</v>
      </c>
      <c r="D186" s="5">
        <v>550.09</v>
      </c>
      <c r="E186" s="5">
        <v>9.8599999999999993E-2</v>
      </c>
      <c r="F186" s="5">
        <v>1.236</v>
      </c>
      <c r="K186"/>
      <c r="L186"/>
      <c r="M186"/>
      <c r="N186"/>
      <c r="O186"/>
    </row>
    <row r="187" spans="1:15" s="5" customFormat="1" x14ac:dyDescent="0.25">
      <c r="A187"/>
      <c r="B187" t="s">
        <v>33</v>
      </c>
      <c r="C187" s="5">
        <v>616.29999999999995</v>
      </c>
      <c r="D187" s="5">
        <v>666.01</v>
      </c>
      <c r="E187" s="5">
        <v>0.1542</v>
      </c>
      <c r="F187" s="5">
        <v>0.34899999999999998</v>
      </c>
      <c r="K187"/>
      <c r="L187"/>
      <c r="M187"/>
      <c r="N187"/>
      <c r="O187"/>
    </row>
    <row r="188" spans="1:15" s="5" customFormat="1" x14ac:dyDescent="0.25">
      <c r="A188"/>
      <c r="B188" t="s">
        <v>97</v>
      </c>
      <c r="C188" s="5">
        <v>529.1</v>
      </c>
      <c r="D188" s="5">
        <v>734.98</v>
      </c>
      <c r="E188" s="5">
        <v>0.18479999999999999</v>
      </c>
      <c r="F188" s="5">
        <v>0.14399999999999999</v>
      </c>
      <c r="K188"/>
      <c r="L188"/>
      <c r="M188"/>
      <c r="N188"/>
      <c r="O188"/>
    </row>
    <row r="189" spans="1:15" s="5" customFormat="1" x14ac:dyDescent="0.25">
      <c r="A189"/>
      <c r="B189" t="s">
        <v>98</v>
      </c>
      <c r="C189" s="5">
        <v>550.70000000000005</v>
      </c>
      <c r="D189" s="5">
        <v>765.65</v>
      </c>
      <c r="E189" s="5">
        <v>0.20100000000000001</v>
      </c>
      <c r="F189" s="5">
        <v>0.106</v>
      </c>
      <c r="K189"/>
      <c r="L189"/>
      <c r="M189"/>
      <c r="N189"/>
      <c r="O189"/>
    </row>
    <row r="190" spans="1:15" s="5" customFormat="1" x14ac:dyDescent="0.25">
      <c r="A190"/>
      <c r="B190" t="s">
        <v>99</v>
      </c>
      <c r="C190" s="5">
        <v>490.4</v>
      </c>
      <c r="D190" s="5">
        <v>829.1</v>
      </c>
      <c r="E190" s="5">
        <v>0.2223</v>
      </c>
      <c r="F190" s="5">
        <v>4.5999999999999999E-2</v>
      </c>
      <c r="K190"/>
      <c r="L190"/>
      <c r="M190"/>
      <c r="N190"/>
      <c r="O190"/>
    </row>
    <row r="191" spans="1:15" s="5" customFormat="1" x14ac:dyDescent="0.25">
      <c r="A191"/>
      <c r="B191" t="s">
        <v>100</v>
      </c>
      <c r="C191" s="5">
        <v>488.6</v>
      </c>
      <c r="D191" s="5">
        <v>845.7</v>
      </c>
      <c r="E191" s="5">
        <v>0.25390000000000001</v>
      </c>
      <c r="F191" s="5">
        <v>3.5999999999999997E-2</v>
      </c>
      <c r="K191"/>
      <c r="L191"/>
      <c r="M191"/>
      <c r="N191"/>
      <c r="O191"/>
    </row>
    <row r="192" spans="1:15" s="5" customFormat="1" x14ac:dyDescent="0.25">
      <c r="A192"/>
      <c r="B192" t="s">
        <v>1</v>
      </c>
      <c r="C192" s="5">
        <v>436.9</v>
      </c>
      <c r="D192" s="5">
        <v>913.7</v>
      </c>
      <c r="E192" s="5">
        <v>0.30070000000000002</v>
      </c>
      <c r="F192" s="5">
        <v>1.2999999999999999E-2</v>
      </c>
      <c r="K192"/>
      <c r="L192"/>
      <c r="M192"/>
      <c r="N192"/>
      <c r="O192"/>
    </row>
    <row r="193" spans="1:15" s="5" customFormat="1" x14ac:dyDescent="0.25">
      <c r="A193"/>
      <c r="B193" t="s">
        <v>15</v>
      </c>
      <c r="C193" s="5">
        <v>320.3</v>
      </c>
      <c r="D193" s="5">
        <v>1139.4000000000001</v>
      </c>
      <c r="E193" s="5">
        <v>0.50690000000000002</v>
      </c>
      <c r="F193" s="5">
        <v>2.9E-4</v>
      </c>
      <c r="K193"/>
      <c r="L193"/>
      <c r="M193"/>
      <c r="N193"/>
      <c r="O193"/>
    </row>
    <row r="194" spans="1:15" s="5" customFormat="1" x14ac:dyDescent="0.25">
      <c r="A194"/>
      <c r="B194" t="s">
        <v>131</v>
      </c>
      <c r="K194"/>
      <c r="L194"/>
      <c r="M194"/>
      <c r="N194"/>
      <c r="O194"/>
    </row>
    <row r="196" spans="1:15" s="5" customFormat="1" x14ac:dyDescent="0.25">
      <c r="A196"/>
      <c r="B196" t="s">
        <v>113</v>
      </c>
      <c r="K196"/>
      <c r="L196"/>
      <c r="M196"/>
      <c r="N196"/>
      <c r="O196"/>
    </row>
    <row r="197" spans="1:15" s="5" customFormat="1" x14ac:dyDescent="0.25">
      <c r="A197"/>
      <c r="B197" t="s">
        <v>141</v>
      </c>
      <c r="K197"/>
      <c r="L197"/>
      <c r="M197"/>
      <c r="N197"/>
      <c r="O197"/>
    </row>
    <row r="198" spans="1:15" s="5" customFormat="1" x14ac:dyDescent="0.25">
      <c r="A198"/>
      <c r="B198" t="s">
        <v>142</v>
      </c>
      <c r="K198"/>
      <c r="L198"/>
      <c r="M198"/>
      <c r="N198"/>
      <c r="O198"/>
    </row>
    <row r="200" spans="1:15" s="5" customFormat="1" x14ac:dyDescent="0.25">
      <c r="A200"/>
      <c r="B200" t="s">
        <v>116</v>
      </c>
      <c r="K200"/>
      <c r="L200"/>
      <c r="M200"/>
      <c r="N200"/>
      <c r="O200"/>
    </row>
    <row r="201" spans="1:15" s="5" customFormat="1" x14ac:dyDescent="0.25">
      <c r="A201"/>
      <c r="B201" t="s">
        <v>143</v>
      </c>
      <c r="K201"/>
      <c r="L201"/>
      <c r="M201"/>
      <c r="N201"/>
      <c r="O201"/>
    </row>
    <row r="202" spans="1:15" s="5" customFormat="1" x14ac:dyDescent="0.25">
      <c r="A202"/>
      <c r="B202" t="s">
        <v>144</v>
      </c>
      <c r="K202"/>
      <c r="L202"/>
      <c r="M202"/>
      <c r="N202"/>
      <c r="O202"/>
    </row>
    <row r="204" spans="1:15" s="5" customFormat="1" x14ac:dyDescent="0.25">
      <c r="A204"/>
      <c r="B204" t="s">
        <v>145</v>
      </c>
      <c r="K204"/>
      <c r="L204"/>
      <c r="M204"/>
      <c r="N204"/>
      <c r="O204"/>
    </row>
    <row r="205" spans="1:15" s="5" customFormat="1" x14ac:dyDescent="0.25">
      <c r="A205"/>
      <c r="B205" t="s">
        <v>146</v>
      </c>
      <c r="K205"/>
      <c r="L205"/>
      <c r="M205"/>
      <c r="N205"/>
      <c r="O205"/>
    </row>
    <row r="206" spans="1:15" s="5" customFormat="1" x14ac:dyDescent="0.25">
      <c r="A206"/>
      <c r="B206" t="s">
        <v>147</v>
      </c>
      <c r="K206"/>
      <c r="L206"/>
      <c r="M206"/>
      <c r="N206"/>
      <c r="O206"/>
    </row>
    <row r="208" spans="1:15" s="5" customFormat="1" x14ac:dyDescent="0.25">
      <c r="A208"/>
      <c r="B208" t="s">
        <v>148</v>
      </c>
      <c r="K208"/>
      <c r="L208"/>
      <c r="M208"/>
      <c r="N208"/>
      <c r="O208"/>
    </row>
    <row r="209" spans="1:15" s="5" customFormat="1" x14ac:dyDescent="0.25">
      <c r="A209"/>
      <c r="B209" t="s">
        <v>149</v>
      </c>
      <c r="K209"/>
      <c r="L209"/>
      <c r="M209"/>
      <c r="N209"/>
      <c r="O209"/>
    </row>
    <row r="210" spans="1:15" s="5" customFormat="1" x14ac:dyDescent="0.25">
      <c r="A210"/>
      <c r="B210" t="s">
        <v>150</v>
      </c>
      <c r="C210" s="5" t="s">
        <v>150</v>
      </c>
      <c r="D210" s="5" t="s">
        <v>150</v>
      </c>
      <c r="E210" s="5" t="s">
        <v>151</v>
      </c>
      <c r="F210" s="5" t="s">
        <v>152</v>
      </c>
      <c r="K210"/>
      <c r="L210"/>
      <c r="M210"/>
      <c r="N210"/>
      <c r="O210"/>
    </row>
    <row r="211" spans="1:15" s="5" customFormat="1" x14ac:dyDescent="0.25">
      <c r="A211"/>
      <c r="B211" t="s">
        <v>2</v>
      </c>
      <c r="C211" s="5" t="s">
        <v>95</v>
      </c>
      <c r="D211" s="5" t="s">
        <v>153</v>
      </c>
      <c r="E211" s="5" t="s">
        <v>154</v>
      </c>
      <c r="F211" s="5" t="s">
        <v>155</v>
      </c>
      <c r="K211"/>
      <c r="L211"/>
      <c r="M211"/>
      <c r="N211"/>
      <c r="O211"/>
    </row>
    <row r="212" spans="1:15" s="5" customFormat="1" x14ac:dyDescent="0.25">
      <c r="A212"/>
      <c r="B212" t="s">
        <v>7</v>
      </c>
      <c r="C212" s="5">
        <v>652</v>
      </c>
      <c r="D212" s="5">
        <v>194</v>
      </c>
      <c r="E212" s="5">
        <v>2.2919999999999998</v>
      </c>
      <c r="F212" s="5">
        <v>2.3439999999999999</v>
      </c>
      <c r="K212"/>
      <c r="L212"/>
      <c r="M212"/>
      <c r="N212"/>
      <c r="O212"/>
    </row>
    <row r="213" spans="1:15" s="5" customFormat="1" x14ac:dyDescent="0.25">
      <c r="A213"/>
      <c r="B213" t="s">
        <v>6</v>
      </c>
      <c r="C213" s="5">
        <v>470</v>
      </c>
      <c r="D213" s="5">
        <v>109</v>
      </c>
      <c r="E213" s="5">
        <v>3.5409999999999999</v>
      </c>
      <c r="F213" s="5">
        <v>16.811</v>
      </c>
      <c r="K213"/>
      <c r="L213"/>
      <c r="M213"/>
      <c r="N213"/>
      <c r="O213"/>
    </row>
    <row r="214" spans="1:15" s="5" customFormat="1" x14ac:dyDescent="0.25">
      <c r="A214"/>
      <c r="B214" t="s">
        <v>31</v>
      </c>
      <c r="C214" s="5">
        <v>300</v>
      </c>
      <c r="D214" s="5">
        <v>94</v>
      </c>
      <c r="E214" s="5">
        <v>2.7</v>
      </c>
      <c r="F214" s="5">
        <v>4.4619999999999997</v>
      </c>
      <c r="K214"/>
      <c r="L214"/>
      <c r="M214"/>
      <c r="N214"/>
      <c r="O214"/>
    </row>
    <row r="215" spans="1:15" s="5" customFormat="1" x14ac:dyDescent="0.25">
      <c r="A215"/>
      <c r="B215" t="s">
        <v>75</v>
      </c>
      <c r="C215" s="5">
        <v>1145</v>
      </c>
      <c r="D215" s="5">
        <v>303</v>
      </c>
      <c r="E215" s="5">
        <v>1.9019999999999999</v>
      </c>
      <c r="F215" s="5">
        <v>1.2669999999999999</v>
      </c>
      <c r="K215"/>
      <c r="L215"/>
      <c r="M215"/>
      <c r="N215"/>
      <c r="O215"/>
    </row>
    <row r="216" spans="1:15" s="5" customFormat="1" x14ac:dyDescent="0.25">
      <c r="A216"/>
      <c r="B216" t="s">
        <v>33</v>
      </c>
      <c r="C216" s="5">
        <v>1799</v>
      </c>
      <c r="D216" s="5">
        <v>416</v>
      </c>
      <c r="E216" s="5">
        <v>1.375</v>
      </c>
      <c r="F216" s="5">
        <v>0.55200000000000005</v>
      </c>
      <c r="K216"/>
      <c r="L216"/>
      <c r="M216"/>
      <c r="N216"/>
      <c r="O216"/>
    </row>
    <row r="217" spans="1:15" s="5" customFormat="1" x14ac:dyDescent="0.25">
      <c r="A217"/>
      <c r="B217" t="s">
        <v>97</v>
      </c>
      <c r="C217" s="5">
        <v>2037</v>
      </c>
      <c r="D217" s="5">
        <v>471</v>
      </c>
      <c r="E217" s="5">
        <v>0.98499999999999999</v>
      </c>
      <c r="F217" s="5">
        <v>0.29799999999999999</v>
      </c>
      <c r="K217"/>
      <c r="L217"/>
      <c r="M217"/>
      <c r="N217"/>
      <c r="O217"/>
    </row>
    <row r="218" spans="1:15" s="5" customFormat="1" x14ac:dyDescent="0.25">
      <c r="A218"/>
      <c r="B218" t="s">
        <v>98</v>
      </c>
      <c r="C218" s="5">
        <v>2153</v>
      </c>
      <c r="D218" s="5">
        <v>491</v>
      </c>
      <c r="E218" s="5">
        <v>0.85499999999999998</v>
      </c>
      <c r="F218" s="5">
        <v>0.24299999999999999</v>
      </c>
      <c r="K218"/>
      <c r="L218"/>
      <c r="M218"/>
      <c r="N218"/>
      <c r="O218"/>
    </row>
    <row r="219" spans="1:15" s="5" customFormat="1" x14ac:dyDescent="0.25">
      <c r="A219"/>
      <c r="B219" t="s">
        <v>99</v>
      </c>
      <c r="C219" s="5">
        <v>2368</v>
      </c>
      <c r="D219" s="5">
        <v>542</v>
      </c>
      <c r="E219" s="5">
        <v>0.48699999999999999</v>
      </c>
      <c r="F219" s="5">
        <v>0.13600000000000001</v>
      </c>
      <c r="K219"/>
      <c r="L219"/>
      <c r="M219"/>
      <c r="N219"/>
      <c r="O219"/>
    </row>
    <row r="220" spans="1:15" s="5" customFormat="1" x14ac:dyDescent="0.25">
      <c r="A220"/>
      <c r="B220" t="s">
        <v>100</v>
      </c>
      <c r="C220" s="5">
        <v>2480</v>
      </c>
      <c r="D220" s="5">
        <v>557</v>
      </c>
      <c r="E220" s="5">
        <v>0.38700000000000001</v>
      </c>
      <c r="F220" s="5">
        <v>0.11600000000000001</v>
      </c>
      <c r="K220"/>
      <c r="L220"/>
      <c r="M220"/>
      <c r="N220"/>
      <c r="O220"/>
    </row>
    <row r="221" spans="1:15" s="5" customFormat="1" x14ac:dyDescent="0.25">
      <c r="A221"/>
      <c r="B221" t="s">
        <v>1</v>
      </c>
      <c r="C221" s="5">
        <v>2738</v>
      </c>
      <c r="D221" s="5">
        <v>610</v>
      </c>
      <c r="E221" s="5">
        <v>0</v>
      </c>
      <c r="F221" s="5">
        <v>6.3E-2</v>
      </c>
      <c r="K221"/>
      <c r="L221"/>
      <c r="M221"/>
      <c r="N221"/>
      <c r="O221"/>
    </row>
    <row r="222" spans="1:15" s="5" customFormat="1" x14ac:dyDescent="0.25">
      <c r="A222"/>
      <c r="B222" t="s">
        <v>15</v>
      </c>
      <c r="C222" s="5">
        <v>3833.3690000000001</v>
      </c>
      <c r="D222" s="5">
        <v>803.41</v>
      </c>
      <c r="E222" s="5" t="s">
        <v>156</v>
      </c>
      <c r="F222" s="5">
        <v>5.7999999999999996E-3</v>
      </c>
      <c r="K222"/>
      <c r="L222"/>
      <c r="M222"/>
      <c r="N222"/>
      <c r="O222"/>
    </row>
    <row r="224" spans="1:15" s="5" customFormat="1" x14ac:dyDescent="0.25">
      <c r="A224"/>
      <c r="B224" t="s">
        <v>157</v>
      </c>
      <c r="K224"/>
      <c r="L224"/>
      <c r="M224"/>
      <c r="N224"/>
      <c r="O224"/>
    </row>
    <row r="225" spans="1:15" s="5" customFormat="1" x14ac:dyDescent="0.25">
      <c r="A225"/>
      <c r="B225" t="s">
        <v>158</v>
      </c>
      <c r="K225"/>
      <c r="L225"/>
      <c r="M225"/>
      <c r="N225"/>
      <c r="O225"/>
    </row>
    <row r="226" spans="1:15" s="5" customFormat="1" x14ac:dyDescent="0.25">
      <c r="A226"/>
      <c r="B226" t="s">
        <v>159</v>
      </c>
      <c r="K226"/>
      <c r="L226"/>
      <c r="M226"/>
      <c r="N226"/>
      <c r="O226"/>
    </row>
    <row r="227" spans="1:15" s="5" customFormat="1" x14ac:dyDescent="0.25">
      <c r="A227"/>
      <c r="B227" t="s">
        <v>160</v>
      </c>
      <c r="K227"/>
      <c r="L227"/>
      <c r="M227"/>
      <c r="N227"/>
      <c r="O227"/>
    </row>
    <row r="228" spans="1:15" s="5" customFormat="1" x14ac:dyDescent="0.25">
      <c r="A228"/>
      <c r="B228" t="s">
        <v>161</v>
      </c>
      <c r="K228"/>
      <c r="L228"/>
      <c r="M228"/>
      <c r="N228"/>
      <c r="O228"/>
    </row>
    <row r="229" spans="1:15" s="5" customFormat="1" x14ac:dyDescent="0.25">
      <c r="A229"/>
      <c r="B229" t="s">
        <v>162</v>
      </c>
      <c r="K229"/>
      <c r="L229"/>
      <c r="M229"/>
      <c r="N229"/>
      <c r="O229"/>
    </row>
    <row r="230" spans="1:15" s="5" customFormat="1" x14ac:dyDescent="0.25">
      <c r="A230"/>
      <c r="B230" t="s">
        <v>163</v>
      </c>
      <c r="K230"/>
      <c r="L230"/>
      <c r="M230"/>
      <c r="N230"/>
      <c r="O230"/>
    </row>
    <row r="231" spans="1:15" s="5" customFormat="1" x14ac:dyDescent="0.25">
      <c r="A231"/>
      <c r="B231" t="s">
        <v>164</v>
      </c>
      <c r="K231"/>
      <c r="L231"/>
      <c r="M231"/>
      <c r="N231"/>
      <c r="O231"/>
    </row>
    <row r="232" spans="1:15" s="5" customFormat="1" x14ac:dyDescent="0.25">
      <c r="A232"/>
      <c r="B232" t="s">
        <v>165</v>
      </c>
      <c r="K232"/>
      <c r="L232"/>
      <c r="M232"/>
      <c r="N232"/>
      <c r="O232"/>
    </row>
    <row r="233" spans="1:15" s="5" customFormat="1" x14ac:dyDescent="0.25">
      <c r="A233"/>
      <c r="B233" t="s">
        <v>2</v>
      </c>
      <c r="C233" s="5" t="s">
        <v>127</v>
      </c>
      <c r="D233" s="5" t="s">
        <v>152</v>
      </c>
      <c r="E233" s="5" t="s">
        <v>166</v>
      </c>
      <c r="F233" s="5" t="s">
        <v>167</v>
      </c>
      <c r="G233" s="5" t="s">
        <v>168</v>
      </c>
      <c r="K233"/>
      <c r="L233"/>
      <c r="M233"/>
      <c r="N233"/>
      <c r="O233"/>
    </row>
    <row r="234" spans="1:15" s="5" customFormat="1" x14ac:dyDescent="0.25">
      <c r="A234"/>
      <c r="B234" t="s">
        <v>7</v>
      </c>
      <c r="C234" s="5">
        <v>8.0000000000000004E-4</v>
      </c>
      <c r="D234" s="5">
        <v>3.5089999999999999</v>
      </c>
      <c r="E234" s="5">
        <v>5.0000000000000001E-4</v>
      </c>
      <c r="F234" s="5">
        <v>1.8E-3</v>
      </c>
      <c r="G234" s="5">
        <v>44</v>
      </c>
      <c r="K234"/>
      <c r="L234"/>
      <c r="M234"/>
      <c r="N234"/>
      <c r="O234"/>
    </row>
    <row r="235" spans="1:15" s="5" customFormat="1" x14ac:dyDescent="0.25">
      <c r="A235"/>
      <c r="B235" t="s">
        <v>6</v>
      </c>
      <c r="C235" s="5">
        <v>1.6400000000000001E-2</v>
      </c>
      <c r="D235" s="5">
        <v>39.9</v>
      </c>
      <c r="E235" s="5">
        <v>1.4E-3</v>
      </c>
      <c r="F235" s="5">
        <v>5.5199999999999999E-2</v>
      </c>
      <c r="G235" s="5">
        <v>28</v>
      </c>
      <c r="K235"/>
      <c r="L235"/>
      <c r="M235"/>
      <c r="N235"/>
      <c r="O235"/>
    </row>
    <row r="236" spans="1:15" s="5" customFormat="1" x14ac:dyDescent="0.25">
      <c r="A236"/>
      <c r="B236" t="s">
        <v>31</v>
      </c>
      <c r="C236" s="5">
        <v>0.28399999999999997</v>
      </c>
      <c r="D236" s="5">
        <v>8.85</v>
      </c>
      <c r="E236" s="5">
        <v>8.8999999999999996E-2</v>
      </c>
      <c r="F236" s="5">
        <v>0.78769999999999996</v>
      </c>
      <c r="G236" s="5">
        <v>16</v>
      </c>
      <c r="K236"/>
      <c r="L236"/>
      <c r="M236"/>
      <c r="N236"/>
      <c r="O236"/>
    </row>
    <row r="237" spans="1:15" s="5" customFormat="1" x14ac:dyDescent="0.25">
      <c r="A237"/>
      <c r="B237" t="s">
        <v>75</v>
      </c>
      <c r="C237" s="5">
        <v>7.1599999999999997E-2</v>
      </c>
      <c r="D237" s="5">
        <v>1.349</v>
      </c>
      <c r="E237" s="5">
        <v>6.5199999999999994E-2</v>
      </c>
      <c r="F237" s="5">
        <v>8.7999999999999995E-2</v>
      </c>
      <c r="G237" s="5">
        <v>30</v>
      </c>
      <c r="K237"/>
      <c r="L237"/>
      <c r="M237"/>
      <c r="N237"/>
      <c r="O237"/>
    </row>
    <row r="238" spans="1:15" s="5" customFormat="1" x14ac:dyDescent="0.25">
      <c r="A238"/>
      <c r="B238" t="s">
        <v>33</v>
      </c>
      <c r="C238" s="5">
        <v>0.1048</v>
      </c>
      <c r="D238" s="5">
        <v>0.373</v>
      </c>
      <c r="E238" s="5">
        <v>0.127</v>
      </c>
      <c r="F238" s="5">
        <v>4.7399999999999998E-2</v>
      </c>
      <c r="G238" s="5">
        <v>44</v>
      </c>
      <c r="K238"/>
      <c r="L238"/>
      <c r="M238"/>
      <c r="N238"/>
      <c r="O238"/>
    </row>
    <row r="239" spans="1:15" s="5" customFormat="1" x14ac:dyDescent="0.25">
      <c r="A239"/>
      <c r="B239" t="s">
        <v>169</v>
      </c>
      <c r="C239" s="5">
        <v>4.2000000000000003E-2</v>
      </c>
      <c r="D239" s="5">
        <v>0.161</v>
      </c>
      <c r="E239" s="5">
        <v>5.4800000000000001E-2</v>
      </c>
      <c r="F239" s="5">
        <v>8.8000000000000005E-3</v>
      </c>
      <c r="G239" s="5">
        <v>58</v>
      </c>
      <c r="K239"/>
      <c r="L239"/>
      <c r="M239"/>
      <c r="N239"/>
      <c r="O239"/>
    </row>
    <row r="240" spans="1:15" s="5" customFormat="1" x14ac:dyDescent="0.25">
      <c r="A240"/>
      <c r="B240" t="s">
        <v>170</v>
      </c>
      <c r="C240" s="5">
        <v>4.2000000000000003E-2</v>
      </c>
      <c r="D240" s="5">
        <v>0.12</v>
      </c>
      <c r="E240" s="5">
        <v>5.57E-2</v>
      </c>
      <c r="F240" s="5">
        <v>6.7000000000000002E-3</v>
      </c>
      <c r="G240" s="5">
        <v>58</v>
      </c>
      <c r="K240"/>
      <c r="L240"/>
      <c r="M240"/>
      <c r="N240"/>
      <c r="O240"/>
    </row>
    <row r="241" spans="1:15" s="5" customFormat="1" x14ac:dyDescent="0.25">
      <c r="A241"/>
      <c r="B241" t="s">
        <v>171</v>
      </c>
      <c r="C241" s="5">
        <v>1.9099999999999999E-2</v>
      </c>
      <c r="D241" s="5">
        <v>5.3999999999999999E-2</v>
      </c>
      <c r="E241" s="5">
        <v>2.5899999999999999E-2</v>
      </c>
      <c r="F241" s="5">
        <v>1.4E-3</v>
      </c>
      <c r="G241" s="5">
        <v>72</v>
      </c>
      <c r="K241"/>
      <c r="L241"/>
      <c r="M241"/>
      <c r="N241"/>
      <c r="O241"/>
    </row>
    <row r="242" spans="1:15" s="5" customFormat="1" x14ac:dyDescent="0.25">
      <c r="A242"/>
      <c r="B242" t="s">
        <v>172</v>
      </c>
      <c r="C242" s="5">
        <v>1.9099999999999999E-2</v>
      </c>
      <c r="D242" s="5">
        <v>4.2999999999999997E-2</v>
      </c>
      <c r="E242" s="5">
        <v>2.6100000000000002E-2</v>
      </c>
      <c r="F242" s="5">
        <v>1.1000000000000001E-3</v>
      </c>
      <c r="G242" s="5">
        <v>72</v>
      </c>
      <c r="K242"/>
      <c r="L242"/>
      <c r="M242"/>
      <c r="N242"/>
      <c r="O242"/>
    </row>
    <row r="243" spans="1:15" s="5" customFormat="1" x14ac:dyDescent="0.25">
      <c r="A243"/>
      <c r="B243" t="s">
        <v>1</v>
      </c>
      <c r="C243" s="5">
        <v>4.0500000000000001E-2</v>
      </c>
      <c r="D243" s="5">
        <v>1.7999999999999999E-2</v>
      </c>
      <c r="E243" s="5">
        <v>5.5800000000000002E-2</v>
      </c>
      <c r="F243" s="5">
        <v>1E-3</v>
      </c>
      <c r="G243" s="5">
        <v>86</v>
      </c>
      <c r="K243"/>
      <c r="L243"/>
      <c r="M243"/>
      <c r="N243"/>
      <c r="O243"/>
    </row>
    <row r="244" spans="1:15" s="5" customFormat="1" x14ac:dyDescent="0.25">
      <c r="A244"/>
      <c r="B244" t="s">
        <v>15</v>
      </c>
      <c r="C244" s="5">
        <v>0.35970000000000002</v>
      </c>
      <c r="D244" s="5">
        <v>2.0999999999999999E-3</v>
      </c>
      <c r="E244" s="5">
        <v>0.49859999999999999</v>
      </c>
      <c r="F244" s="5">
        <v>8.9999999999999998E-4</v>
      </c>
      <c r="G244" s="5">
        <v>252</v>
      </c>
      <c r="K244"/>
      <c r="L244"/>
      <c r="M244"/>
      <c r="N244"/>
      <c r="O244"/>
    </row>
    <row r="245" spans="1:15" s="5" customFormat="1" x14ac:dyDescent="0.25">
      <c r="A245"/>
      <c r="B245"/>
      <c r="K245"/>
      <c r="L245"/>
      <c r="M245"/>
      <c r="N245"/>
      <c r="O245"/>
    </row>
    <row r="246" spans="1:15" s="5" customFormat="1" x14ac:dyDescent="0.25">
      <c r="A246"/>
      <c r="B246"/>
      <c r="K246"/>
      <c r="L246"/>
      <c r="M246"/>
      <c r="N246"/>
      <c r="O246"/>
    </row>
    <row r="247" spans="1:15" s="5" customFormat="1" ht="18.75" x14ac:dyDescent="0.3">
      <c r="A247"/>
      <c r="B247" s="37" t="s">
        <v>177</v>
      </c>
      <c r="K247"/>
      <c r="L247"/>
      <c r="M247"/>
      <c r="N247"/>
      <c r="O247"/>
    </row>
    <row r="249" spans="1:15" x14ac:dyDescent="0.25">
      <c r="B249" t="s">
        <v>178</v>
      </c>
    </row>
    <row r="250" spans="1:15" x14ac:dyDescent="0.25">
      <c r="B250" t="s">
        <v>179</v>
      </c>
    </row>
    <row r="252" spans="1:15" ht="15.75" thickBot="1" x14ac:dyDescent="0.3">
      <c r="D252" s="36"/>
      <c r="E252" s="36" t="s">
        <v>174</v>
      </c>
      <c r="F252" s="36"/>
    </row>
    <row r="253" spans="1:15" x14ac:dyDescent="0.25">
      <c r="B253" s="34" t="s">
        <v>175</v>
      </c>
      <c r="C253" s="34" t="s">
        <v>176</v>
      </c>
      <c r="D253" s="34" t="s">
        <v>173</v>
      </c>
      <c r="E253" s="34" t="s">
        <v>66</v>
      </c>
      <c r="F253" s="34" t="s">
        <v>67</v>
      </c>
    </row>
    <row r="254" spans="1:15" x14ac:dyDescent="0.25">
      <c r="B254" s="31">
        <v>40</v>
      </c>
      <c r="C254" s="31">
        <v>1000</v>
      </c>
      <c r="D254" s="31">
        <v>0.96599999999999997</v>
      </c>
      <c r="E254" s="31">
        <v>0.96789999999999998</v>
      </c>
      <c r="F254" s="31">
        <v>0.86890000000000001</v>
      </c>
    </row>
    <row r="255" spans="1:15" x14ac:dyDescent="0.25">
      <c r="B255" s="31">
        <v>40</v>
      </c>
      <c r="C255" s="31">
        <v>800</v>
      </c>
      <c r="D255" s="31">
        <v>0.97</v>
      </c>
      <c r="E255" s="31">
        <v>0.96950000000000003</v>
      </c>
      <c r="F255" s="31">
        <v>0.90649999999999997</v>
      </c>
    </row>
    <row r="256" spans="1:15" x14ac:dyDescent="0.25">
      <c r="B256" s="31">
        <v>40</v>
      </c>
      <c r="C256" s="31">
        <v>600</v>
      </c>
      <c r="D256" s="31">
        <v>0.97899999999999998</v>
      </c>
      <c r="E256" s="31">
        <v>0.97719999999999996</v>
      </c>
      <c r="F256" s="31">
        <v>0.94079999999999997</v>
      </c>
    </row>
    <row r="257" spans="2:6" x14ac:dyDescent="0.25">
      <c r="B257" s="31">
        <v>40</v>
      </c>
      <c r="C257" s="32">
        <v>400</v>
      </c>
      <c r="D257" s="31">
        <v>0.98899999999999999</v>
      </c>
      <c r="E257" s="31">
        <v>0.98929999999999996</v>
      </c>
      <c r="F257" s="31">
        <v>0.97140000000000004</v>
      </c>
    </row>
    <row r="258" spans="2:6" x14ac:dyDescent="0.25">
      <c r="B258" s="31">
        <v>40</v>
      </c>
      <c r="C258" s="33">
        <v>200</v>
      </c>
      <c r="D258" s="35">
        <v>0.998</v>
      </c>
      <c r="E258" s="35">
        <v>1</v>
      </c>
      <c r="F258" s="31">
        <v>0.99509999999999998</v>
      </c>
    </row>
    <row r="259" spans="2:6" x14ac:dyDescent="0.25">
      <c r="B259" s="31"/>
      <c r="C259" s="31"/>
      <c r="D259" s="31"/>
      <c r="E259" s="31"/>
      <c r="F259" s="31"/>
    </row>
    <row r="260" spans="2:6" x14ac:dyDescent="0.25">
      <c r="B260" s="31"/>
      <c r="C260" s="31"/>
      <c r="D260" s="31"/>
      <c r="E260" s="31"/>
      <c r="F260" s="31"/>
    </row>
    <row r="261" spans="2:6" x14ac:dyDescent="0.25">
      <c r="B261" s="31"/>
      <c r="C261" s="31"/>
      <c r="D261" s="31"/>
      <c r="E261" s="31"/>
      <c r="F261" s="31"/>
    </row>
    <row r="269" spans="2:6" ht="15.75" thickBot="1" x14ac:dyDescent="0.3">
      <c r="B269" s="31"/>
      <c r="C269" s="31"/>
      <c r="D269" s="36"/>
      <c r="E269" s="36" t="s">
        <v>174</v>
      </c>
      <c r="F269" s="36"/>
    </row>
    <row r="270" spans="2:6" x14ac:dyDescent="0.25">
      <c r="B270" s="34" t="s">
        <v>175</v>
      </c>
      <c r="C270" s="34" t="s">
        <v>176</v>
      </c>
      <c r="D270" s="34" t="s">
        <v>173</v>
      </c>
      <c r="E270" s="34" t="s">
        <v>66</v>
      </c>
      <c r="F270" s="34" t="s">
        <v>67</v>
      </c>
    </row>
    <row r="271" spans="2:6" x14ac:dyDescent="0.25">
      <c r="B271" s="31">
        <v>80</v>
      </c>
      <c r="C271" s="31">
        <v>1000</v>
      </c>
      <c r="D271" s="31">
        <v>1</v>
      </c>
      <c r="E271" s="31">
        <v>0.99929999999999997</v>
      </c>
      <c r="F271" s="31">
        <v>0.94140000000000001</v>
      </c>
    </row>
    <row r="272" spans="2:6" x14ac:dyDescent="0.25">
      <c r="B272" s="31">
        <v>80</v>
      </c>
      <c r="C272" s="31">
        <v>800</v>
      </c>
      <c r="D272" s="31">
        <v>1</v>
      </c>
      <c r="E272" s="31">
        <v>0.99890000000000001</v>
      </c>
      <c r="F272" s="31">
        <v>0.96340000000000003</v>
      </c>
    </row>
    <row r="273" spans="2:6" x14ac:dyDescent="0.25">
      <c r="B273" s="31">
        <v>80</v>
      </c>
      <c r="C273" s="31">
        <v>600</v>
      </c>
      <c r="D273" s="31">
        <v>1</v>
      </c>
      <c r="E273" s="31">
        <v>1</v>
      </c>
      <c r="F273" s="31">
        <v>0.98199999999999998</v>
      </c>
    </row>
    <row r="274" spans="2:6" x14ac:dyDescent="0.25">
      <c r="B274" s="31">
        <v>80</v>
      </c>
      <c r="C274" s="32">
        <v>400</v>
      </c>
      <c r="D274" s="31">
        <v>1</v>
      </c>
      <c r="E274" s="31">
        <v>1</v>
      </c>
      <c r="F274" s="31">
        <v>0.99570000000000003</v>
      </c>
    </row>
    <row r="275" spans="2:6" x14ac:dyDescent="0.25">
      <c r="B275" s="31">
        <v>80</v>
      </c>
      <c r="C275" s="33">
        <v>200</v>
      </c>
      <c r="D275" s="35">
        <v>1</v>
      </c>
      <c r="E275" s="35">
        <v>1</v>
      </c>
      <c r="F275" s="31">
        <v>0.99970000000000003</v>
      </c>
    </row>
  </sheetData>
  <sortState xmlns:xlrd2="http://schemas.microsoft.com/office/spreadsheetml/2017/richdata2" ref="B254:F269">
    <sortCondition ref="B254:B269"/>
  </sortState>
  <mergeCells count="3">
    <mergeCell ref="B11:C11"/>
    <mergeCell ref="W12:Y12"/>
    <mergeCell ref="Z12:AA12"/>
  </mergeCells>
  <hyperlinks>
    <hyperlink ref="B2" r:id="rId1" xr:uid="{E8617174-958F-4F79-A602-1D0F8D118FAC}"/>
    <hyperlink ref="B103" r:id="rId2" display="https://www.sciencedirect.com/topics/engineering/standing-correlation" xr:uid="{8B1270FF-64F9-44C5-B167-D0ED7C95707A}"/>
  </hyperlinks>
  <pageMargins left="0.7" right="0.7" top="0.75" bottom="0.75" header="0.3" footer="0.3"/>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Flash</vt:lpstr>
      <vt:lpstr>Flash!mL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Wayne Landon</dc:creator>
  <cp:lastModifiedBy>gloria landon</cp:lastModifiedBy>
  <dcterms:created xsi:type="dcterms:W3CDTF">2025-08-15T15:39:56Z</dcterms:created>
  <dcterms:modified xsi:type="dcterms:W3CDTF">2025-10-05T02:53:53Z</dcterms:modified>
</cp:coreProperties>
</file>