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ayne_z8780x5\Documents\Engineering Models final\"/>
    </mc:Choice>
  </mc:AlternateContent>
  <xr:revisionPtr revIDLastSave="0" documentId="13_ncr:1_{65184EAF-2F49-4E09-A199-6E669AC5F165}" xr6:coauthVersionLast="47" xr6:coauthVersionMax="47" xr10:uidLastSave="{00000000-0000-0000-0000-000000000000}"/>
  <bookViews>
    <workbookView xWindow="135" yWindow="135" windowWidth="20355" windowHeight="10665" xr2:uid="{CB04C513-A5D1-4B0C-B66E-945B73318694}"/>
  </bookViews>
  <sheets>
    <sheet name="Commentary" sheetId="6" r:id="rId1"/>
    <sheet name="HDP" sheetId="2" r:id="rId2"/>
    <sheet name="Properties" sheetId="4" r:id="rId3"/>
    <sheet name="Compositions" sheetId="3" r:id="rId4"/>
    <sheet name="Flash" sheetId="5" r:id="rId5"/>
  </sheets>
  <externalReferences>
    <externalReference r:id="rId6"/>
    <externalReference r:id="rId7"/>
    <externalReference r:id="rId8"/>
  </externalReferences>
  <definedNames>
    <definedName name="mL" localSheetId="4">Flash!$F$26</definedName>
    <definedName name="mL" localSheetId="2">'[1]Flash A'!$F$25</definedName>
    <definedName name="mL">'[2]Flash A'!$F$25</definedName>
    <definedName name="_xlnm.Print_Area" localSheetId="3">Compositions!$B$4:$J$29</definedName>
    <definedName name="solver_adj" localSheetId="4" hidden="1">Flash!$F$26</definedName>
    <definedName name="solver_adj" localSheetId="2" hidden="1">Properties!$AB$1</definedName>
    <definedName name="solver_cvg" localSheetId="4" hidden="1">0.0001</definedName>
    <definedName name="solver_cvg" localSheetId="2" hidden="1">0.0001</definedName>
    <definedName name="solver_drv" localSheetId="4" hidden="1">2</definedName>
    <definedName name="solver_drv" localSheetId="2" hidden="1">1</definedName>
    <definedName name="solver_eng" localSheetId="4" hidden="1">1</definedName>
    <definedName name="solver_eng" localSheetId="2" hidden="1">1</definedName>
    <definedName name="solver_est" localSheetId="4" hidden="1">1</definedName>
    <definedName name="solver_est" localSheetId="2" hidden="1">1</definedName>
    <definedName name="solver_itr" localSheetId="4" hidden="1">2147483647</definedName>
    <definedName name="solver_itr" localSheetId="2" hidden="1">2147483647</definedName>
    <definedName name="solver_lhs1" localSheetId="4" hidden="1">Flash!$F$26</definedName>
    <definedName name="solver_lhs1" localSheetId="2" hidden="1">Properties!$AB$1</definedName>
    <definedName name="solver_lhs2" localSheetId="4" hidden="1">Flash!$F$26</definedName>
    <definedName name="solver_lhs2" localSheetId="2" hidden="1">Properties!$AB$1</definedName>
    <definedName name="solver_lhs3" localSheetId="4" hidden="1">Flash!$F$26</definedName>
    <definedName name="solver_lhs4" localSheetId="4" hidden="1">Flash!$F$26</definedName>
    <definedName name="solver_mip" localSheetId="4" hidden="1">2147483647</definedName>
    <definedName name="solver_mip" localSheetId="2" hidden="1">2147483647</definedName>
    <definedName name="solver_mni" localSheetId="4" hidden="1">30</definedName>
    <definedName name="solver_mni" localSheetId="2" hidden="1">30</definedName>
    <definedName name="solver_mrt" localSheetId="4" hidden="1">0.075</definedName>
    <definedName name="solver_mrt" localSheetId="2" hidden="1">0.075</definedName>
    <definedName name="solver_msl" localSheetId="4" hidden="1">2</definedName>
    <definedName name="solver_msl" localSheetId="2" hidden="1">2</definedName>
    <definedName name="solver_neg" localSheetId="4" hidden="1">1</definedName>
    <definedName name="solver_neg" localSheetId="2" hidden="1">1</definedName>
    <definedName name="solver_nod" localSheetId="4" hidden="1">2147483647</definedName>
    <definedName name="solver_nod" localSheetId="2" hidden="1">2147483647</definedName>
    <definedName name="solver_num" localSheetId="4" hidden="1">2</definedName>
    <definedName name="solver_num" localSheetId="2" hidden="1">2</definedName>
    <definedName name="solver_nwt" localSheetId="4" hidden="1">1</definedName>
    <definedName name="solver_nwt" localSheetId="2" hidden="1">1</definedName>
    <definedName name="solver_opt" localSheetId="4" hidden="1">Flash!$F$23</definedName>
    <definedName name="solver_opt" localSheetId="2" hidden="1">Properties!$AA$24</definedName>
    <definedName name="solver_pre" localSheetId="4" hidden="1">0.00000001</definedName>
    <definedName name="solver_pre" localSheetId="2" hidden="1">0.000001</definedName>
    <definedName name="solver_rbv" localSheetId="4" hidden="1">2</definedName>
    <definedName name="solver_rbv" localSheetId="2" hidden="1">1</definedName>
    <definedName name="solver_rel1" localSheetId="4" hidden="1">1</definedName>
    <definedName name="solver_rel1" localSheetId="2" hidden="1">1</definedName>
    <definedName name="solver_rel2" localSheetId="4" hidden="1">3</definedName>
    <definedName name="solver_rel2" localSheetId="2" hidden="1">3</definedName>
    <definedName name="solver_rel3" localSheetId="4" hidden="1">3</definedName>
    <definedName name="solver_rel4" localSheetId="4" hidden="1">3</definedName>
    <definedName name="solver_rhs1" localSheetId="4" hidden="1">1</definedName>
    <definedName name="solver_rhs1" localSheetId="2" hidden="1">0.99999</definedName>
    <definedName name="solver_rhs2" localSheetId="4" hidden="1">0</definedName>
    <definedName name="solver_rhs2" localSheetId="2" hidden="1">0.00001</definedName>
    <definedName name="solver_rhs3" localSheetId="4" hidden="1">0</definedName>
    <definedName name="solver_rhs4" localSheetId="4" hidden="1">0</definedName>
    <definedName name="solver_rlx" localSheetId="4" hidden="1">2</definedName>
    <definedName name="solver_rlx" localSheetId="2" hidden="1">2</definedName>
    <definedName name="solver_rsd" localSheetId="4" hidden="1">0</definedName>
    <definedName name="solver_rsd" localSheetId="2" hidden="1">0</definedName>
    <definedName name="solver_scl" localSheetId="4" hidden="1">2</definedName>
    <definedName name="solver_scl" localSheetId="2" hidden="1">1</definedName>
    <definedName name="solver_sho" localSheetId="4" hidden="1">2</definedName>
    <definedName name="solver_sho" localSheetId="2" hidden="1">2</definedName>
    <definedName name="solver_ssz" localSheetId="4" hidden="1">100</definedName>
    <definedName name="solver_ssz" localSheetId="2" hidden="1">100</definedName>
    <definedName name="solver_tim" localSheetId="4" hidden="1">2147483647</definedName>
    <definedName name="solver_tim" localSheetId="2" hidden="1">2147483647</definedName>
    <definedName name="solver_tol" localSheetId="4" hidden="1">0.01</definedName>
    <definedName name="solver_tol" localSheetId="2" hidden="1">0.01</definedName>
    <definedName name="solver_typ" localSheetId="4" hidden="1">3</definedName>
    <definedName name="solver_typ" localSheetId="2" hidden="1">3</definedName>
    <definedName name="solver_val" localSheetId="4" hidden="1">0</definedName>
    <definedName name="solver_val" localSheetId="2" hidden="1">0.001</definedName>
    <definedName name="solver_ver" localSheetId="4" hidden="1">3</definedName>
    <definedName name="solver_ver" localSheetId="2"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5" l="1"/>
  <c r="E21" i="5"/>
  <c r="E12" i="5"/>
  <c r="E13" i="5"/>
  <c r="E14" i="5"/>
  <c r="E15" i="5"/>
  <c r="E16" i="5"/>
  <c r="E17" i="5"/>
  <c r="E18" i="5"/>
  <c r="E19" i="5"/>
  <c r="E20" i="5"/>
  <c r="E11" i="5"/>
  <c r="G76" i="5"/>
  <c r="F76" i="5"/>
  <c r="E76" i="5"/>
  <c r="I75" i="5"/>
  <c r="H75" i="5"/>
  <c r="G75" i="5"/>
  <c r="F75" i="5"/>
  <c r="E75" i="5"/>
  <c r="I74" i="5"/>
  <c r="H74" i="5"/>
  <c r="G74" i="5"/>
  <c r="F74" i="5"/>
  <c r="E74" i="5"/>
  <c r="I73" i="5"/>
  <c r="H73" i="5"/>
  <c r="G73" i="5"/>
  <c r="F73" i="5"/>
  <c r="E73" i="5"/>
  <c r="I72" i="5"/>
  <c r="H72" i="5"/>
  <c r="G72" i="5"/>
  <c r="F72" i="5"/>
  <c r="E72" i="5"/>
  <c r="I71" i="5"/>
  <c r="H71" i="5"/>
  <c r="G71" i="5"/>
  <c r="F71" i="5"/>
  <c r="E71" i="5"/>
  <c r="I70" i="5"/>
  <c r="H70" i="5"/>
  <c r="G70" i="5"/>
  <c r="F70" i="5"/>
  <c r="E70" i="5"/>
  <c r="I69" i="5"/>
  <c r="H69" i="5"/>
  <c r="G69" i="5"/>
  <c r="F69" i="5"/>
  <c r="E69" i="5"/>
  <c r="I68" i="5"/>
  <c r="H68" i="5"/>
  <c r="G68" i="5"/>
  <c r="F68" i="5"/>
  <c r="E68" i="5"/>
  <c r="I67" i="5"/>
  <c r="H67" i="5"/>
  <c r="I66" i="5"/>
  <c r="H66" i="5"/>
  <c r="G66" i="5"/>
  <c r="F66" i="5"/>
  <c r="E66" i="5"/>
  <c r="I65" i="5"/>
  <c r="H65" i="5"/>
  <c r="G65" i="5"/>
  <c r="F65" i="5"/>
  <c r="E65" i="5"/>
  <c r="C50" i="5"/>
  <c r="C56" i="5"/>
  <c r="C48" i="5"/>
  <c r="P19" i="4"/>
  <c r="Q19" i="4"/>
  <c r="N19" i="4"/>
  <c r="O19" i="4"/>
  <c r="D19" i="4"/>
  <c r="C23" i="4"/>
  <c r="C22" i="4"/>
  <c r="C21" i="4"/>
  <c r="C20" i="4"/>
  <c r="C19" i="4"/>
  <c r="C9" i="4"/>
  <c r="C10" i="4"/>
  <c r="C11" i="4"/>
  <c r="C12" i="4"/>
  <c r="C13" i="4"/>
  <c r="C14" i="4"/>
  <c r="C15" i="4"/>
  <c r="C16" i="4"/>
  <c r="C17" i="4"/>
  <c r="C18" i="4"/>
  <c r="C8" i="4"/>
  <c r="Y23" i="4"/>
  <c r="P23" i="4"/>
  <c r="Q23" i="4"/>
  <c r="O23" i="4"/>
  <c r="Y22" i="4"/>
  <c r="P22" i="4"/>
  <c r="Q22" i="4"/>
  <c r="N22" i="4"/>
  <c r="O22" i="4"/>
  <c r="D22" i="4"/>
  <c r="Y21" i="4"/>
  <c r="P21" i="4"/>
  <c r="Q21" i="4"/>
  <c r="N21" i="4"/>
  <c r="O21" i="4"/>
  <c r="D21" i="4"/>
  <c r="Y20" i="4"/>
  <c r="P20" i="4"/>
  <c r="Q20" i="4"/>
  <c r="N20" i="4"/>
  <c r="O20" i="4"/>
  <c r="Y19" i="4"/>
  <c r="Y18" i="4"/>
  <c r="P18" i="4"/>
  <c r="Q18" i="4"/>
  <c r="N18" i="4"/>
  <c r="O18" i="4"/>
  <c r="D18" i="4"/>
  <c r="Y17" i="4"/>
  <c r="P17" i="4"/>
  <c r="Q17" i="4"/>
  <c r="N17" i="4"/>
  <c r="O17" i="4"/>
  <c r="Y16" i="4"/>
  <c r="P16" i="4"/>
  <c r="Q16" i="4"/>
  <c r="N16" i="4"/>
  <c r="O16" i="4"/>
  <c r="Y15" i="4"/>
  <c r="P15" i="4"/>
  <c r="Q15" i="4"/>
  <c r="N15" i="4"/>
  <c r="O15" i="4"/>
  <c r="Y14" i="4"/>
  <c r="P14" i="4"/>
  <c r="Q14" i="4"/>
  <c r="N14" i="4"/>
  <c r="O14" i="4"/>
  <c r="Y13" i="4"/>
  <c r="P13" i="4"/>
  <c r="Q13" i="4"/>
  <c r="N13" i="4"/>
  <c r="O13" i="4"/>
  <c r="Y12" i="4"/>
  <c r="P12" i="4"/>
  <c r="Q12" i="4"/>
  <c r="N12" i="4"/>
  <c r="O12" i="4"/>
  <c r="D12" i="4"/>
  <c r="Y11" i="4"/>
  <c r="P11" i="4"/>
  <c r="Q11" i="4"/>
  <c r="N11" i="4"/>
  <c r="O11" i="4"/>
  <c r="Y10" i="4"/>
  <c r="P10" i="4"/>
  <c r="Q10" i="4"/>
  <c r="N10" i="4"/>
  <c r="O10" i="4"/>
  <c r="Y9" i="4"/>
  <c r="P9" i="4"/>
  <c r="Q9" i="4"/>
  <c r="N9" i="4"/>
  <c r="O9" i="4"/>
  <c r="Y8" i="4"/>
  <c r="P8" i="4"/>
  <c r="Q8" i="4"/>
  <c r="N8" i="4"/>
  <c r="J65" i="5"/>
  <c r="J68" i="5"/>
  <c r="J72" i="5"/>
  <c r="L65" i="5"/>
  <c r="J66" i="5"/>
  <c r="J69" i="5"/>
  <c r="J73" i="5"/>
  <c r="C57" i="5"/>
  <c r="L67" i="5"/>
  <c r="L66" i="5"/>
  <c r="J70" i="5"/>
  <c r="J74" i="5"/>
  <c r="J67" i="5"/>
  <c r="J71" i="5"/>
  <c r="J75" i="5"/>
  <c r="L68" i="5"/>
  <c r="L69" i="5"/>
  <c r="L70" i="5"/>
  <c r="L71" i="5"/>
  <c r="L72" i="5"/>
  <c r="L73" i="5"/>
  <c r="L74" i="5"/>
  <c r="L75" i="5"/>
  <c r="L76" i="5"/>
  <c r="D11" i="5"/>
  <c r="D12" i="5"/>
  <c r="D13" i="5"/>
  <c r="D14" i="5"/>
  <c r="D15" i="5"/>
  <c r="D16" i="5"/>
  <c r="D17" i="5"/>
  <c r="D18" i="5"/>
  <c r="D19" i="5"/>
  <c r="D20" i="5"/>
  <c r="D21" i="5"/>
  <c r="D22" i="5"/>
  <c r="E23" i="5"/>
  <c r="C55" i="5"/>
  <c r="D13" i="4"/>
  <c r="D17" i="4"/>
  <c r="T24" i="4"/>
  <c r="D14" i="4"/>
  <c r="D20" i="4"/>
  <c r="E10" i="2"/>
  <c r="S24" i="4"/>
  <c r="N24" i="4"/>
  <c r="M24" i="4"/>
  <c r="D15" i="4"/>
  <c r="D16" i="4"/>
  <c r="D10" i="2"/>
  <c r="L24" i="4"/>
  <c r="O8" i="4"/>
  <c r="O24" i="4"/>
  <c r="C24" i="4"/>
  <c r="I24" i="4"/>
  <c r="U24" i="4"/>
  <c r="F24" i="4"/>
  <c r="P24" i="4"/>
  <c r="Q24" i="4"/>
  <c r="J24" i="4"/>
  <c r="R24" i="4"/>
  <c r="H24" i="4"/>
  <c r="G24" i="4"/>
  <c r="K24" i="4"/>
  <c r="K67" i="5"/>
  <c r="C13" i="5"/>
  <c r="I13" i="5" s="1"/>
  <c r="K75" i="5"/>
  <c r="C21" i="5"/>
  <c r="K71" i="5"/>
  <c r="C17" i="5"/>
  <c r="I17" i="5" s="1"/>
  <c r="K65" i="5"/>
  <c r="C11" i="5"/>
  <c r="K70" i="5"/>
  <c r="C16" i="5"/>
  <c r="K73" i="5"/>
  <c r="C19" i="5"/>
  <c r="K69" i="5"/>
  <c r="C15" i="5"/>
  <c r="D23" i="5"/>
  <c r="K72" i="5"/>
  <c r="C18" i="5"/>
  <c r="K68" i="5"/>
  <c r="C14" i="5"/>
  <c r="F14" i="5" s="1"/>
  <c r="K66" i="5"/>
  <c r="C12" i="5"/>
  <c r="C59" i="5"/>
  <c r="I76" i="5"/>
  <c r="C58" i="5"/>
  <c r="H76" i="5"/>
  <c r="K74" i="5"/>
  <c r="C20" i="5"/>
  <c r="I20" i="5" s="1"/>
  <c r="J20" i="5" s="1"/>
  <c r="D24" i="4"/>
  <c r="J76" i="5"/>
  <c r="K76" i="5"/>
  <c r="C22" i="5"/>
  <c r="I22" i="5" s="1"/>
  <c r="I14" i="5"/>
  <c r="J14" i="5" s="1"/>
  <c r="I19" i="5"/>
  <c r="J19" i="5" s="1"/>
  <c r="F19" i="5"/>
  <c r="I18" i="5"/>
  <c r="J18" i="5" s="1"/>
  <c r="F18" i="5"/>
  <c r="F12" i="5"/>
  <c r="I12" i="5"/>
  <c r="J12" i="5" s="1"/>
  <c r="I15" i="5"/>
  <c r="J15" i="5" s="1"/>
  <c r="F15" i="5"/>
  <c r="I11" i="5"/>
  <c r="G11" i="5" s="1"/>
  <c r="H11" i="5" s="1"/>
  <c r="F11" i="5"/>
  <c r="F13" i="5"/>
  <c r="I21" i="5"/>
  <c r="G21" i="5" s="1"/>
  <c r="H21" i="5" s="1"/>
  <c r="F21" i="5"/>
  <c r="I16" i="5"/>
  <c r="J16" i="5" s="1"/>
  <c r="F16" i="5"/>
  <c r="G28" i="3"/>
  <c r="H28" i="3"/>
  <c r="I28" i="3"/>
  <c r="J28" i="3"/>
  <c r="K28" i="3"/>
  <c r="L28" i="3"/>
  <c r="M28" i="3"/>
  <c r="N28" i="3"/>
  <c r="O28" i="3"/>
  <c r="P28" i="3"/>
  <c r="Q28" i="3"/>
  <c r="R28" i="3"/>
  <c r="S28" i="3"/>
  <c r="T28" i="3"/>
  <c r="U28" i="3"/>
  <c r="V28" i="3"/>
  <c r="G29" i="3"/>
  <c r="H29" i="3"/>
  <c r="I29" i="3"/>
  <c r="J29" i="3"/>
  <c r="K29" i="3"/>
  <c r="L29" i="3"/>
  <c r="M29" i="3"/>
  <c r="N29" i="3"/>
  <c r="O29" i="3"/>
  <c r="P29" i="3"/>
  <c r="Q29" i="3"/>
  <c r="R29" i="3"/>
  <c r="S29" i="3"/>
  <c r="T29" i="3"/>
  <c r="U29" i="3"/>
  <c r="V29" i="3"/>
  <c r="F29" i="3"/>
  <c r="G23" i="3"/>
  <c r="H23" i="3"/>
  <c r="I23" i="3"/>
  <c r="J23" i="3"/>
  <c r="K23" i="3"/>
  <c r="L23" i="3"/>
  <c r="M23" i="3"/>
  <c r="N23" i="3"/>
  <c r="O23" i="3"/>
  <c r="P23" i="3"/>
  <c r="Q23" i="3"/>
  <c r="R23" i="3"/>
  <c r="S23" i="3"/>
  <c r="T23" i="3"/>
  <c r="U23" i="3"/>
  <c r="V23" i="3"/>
  <c r="F23" i="3"/>
  <c r="F28" i="3"/>
  <c r="I30" i="3"/>
  <c r="H30" i="3"/>
  <c r="G30" i="3"/>
  <c r="F30" i="3"/>
  <c r="E23" i="3"/>
  <c r="D23" i="3"/>
  <c r="C23" i="3"/>
  <c r="E41" i="2"/>
  <c r="D41" i="2"/>
  <c r="E40" i="2"/>
  <c r="D40" i="2"/>
  <c r="F40" i="2"/>
  <c r="E39" i="2"/>
  <c r="D39" i="2"/>
  <c r="F39" i="2"/>
  <c r="E38" i="2"/>
  <c r="D38" i="2"/>
  <c r="F38" i="2"/>
  <c r="E37" i="2"/>
  <c r="D37" i="2"/>
  <c r="E36" i="2"/>
  <c r="D36" i="2"/>
  <c r="F36" i="2"/>
  <c r="E35" i="2"/>
  <c r="D35" i="2"/>
  <c r="E34" i="2"/>
  <c r="D34" i="2"/>
  <c r="F34" i="2"/>
  <c r="E33" i="2"/>
  <c r="D33" i="2"/>
  <c r="E32" i="2"/>
  <c r="D32" i="2"/>
  <c r="F32" i="2"/>
  <c r="E31" i="2"/>
  <c r="D31" i="2"/>
  <c r="F31" i="2"/>
  <c r="E30" i="2"/>
  <c r="D30" i="2"/>
  <c r="E29" i="2"/>
  <c r="D29" i="2"/>
  <c r="E28" i="2"/>
  <c r="D28" i="2"/>
  <c r="C17" i="2"/>
  <c r="F37" i="2"/>
  <c r="F30" i="2"/>
  <c r="F41" i="2"/>
  <c r="F29" i="2"/>
  <c r="F28" i="2"/>
  <c r="F33" i="2"/>
  <c r="F35" i="2"/>
  <c r="C18" i="2"/>
  <c r="C19" i="2"/>
  <c r="C16" i="2"/>
  <c r="C20" i="2"/>
  <c r="C21" i="2"/>
  <c r="J11" i="5" l="1"/>
  <c r="J22" i="5"/>
  <c r="G22" i="5"/>
  <c r="H22" i="5" s="1"/>
  <c r="F20" i="5"/>
  <c r="F22" i="5"/>
  <c r="J21" i="5"/>
  <c r="G18" i="5"/>
  <c r="H18" i="5" s="1"/>
  <c r="G14" i="5"/>
  <c r="H14" i="5" s="1"/>
  <c r="G19" i="5"/>
  <c r="H19" i="5" s="1"/>
  <c r="G17" i="5"/>
  <c r="H17" i="5" s="1"/>
  <c r="J17" i="5"/>
  <c r="J13" i="5"/>
  <c r="I23" i="5"/>
  <c r="G13" i="5"/>
  <c r="H13" i="5" s="1"/>
  <c r="G16" i="5"/>
  <c r="H16" i="5" s="1"/>
  <c r="G15" i="5"/>
  <c r="H15" i="5" s="1"/>
  <c r="F17" i="5"/>
  <c r="G20" i="5"/>
  <c r="H20" i="5" s="1"/>
  <c r="G12" i="5"/>
  <c r="F23" i="5" l="1"/>
  <c r="J23" i="5"/>
  <c r="G23" i="5"/>
  <c r="H12" i="5"/>
  <c r="H23" i="5" s="1"/>
</calcChain>
</file>

<file path=xl/sharedStrings.xml><?xml version="1.0" encoding="utf-8"?>
<sst xmlns="http://schemas.openxmlformats.org/spreadsheetml/2006/main" count="476" uniqueCount="304">
  <si>
    <t>from Practial Hydrocarbon Dew Point Specs.  Authors Bullin, Fitz and Dustman</t>
  </si>
  <si>
    <t>Practical-Hydrocarbon-Dew-Point-Specification-for-Natural-Gas-Transmission-Lines.pdf</t>
  </si>
  <si>
    <t>Input</t>
  </si>
  <si>
    <t>GPM - C5s</t>
  </si>
  <si>
    <t>GPM - C6+</t>
  </si>
  <si>
    <t>Output</t>
  </si>
  <si>
    <t>GPM = A*(GPM - C5s)^B*((GPM-C6+)^C</t>
  </si>
  <si>
    <t>Equation from paper</t>
  </si>
  <si>
    <t>CHDP = -45.509+2465.9* (C6 - C9 GPM) - 21482.7 * (C6 - C9 GPM)^2 + 66427 * (C6 - C9 GPM)^3</t>
  </si>
  <si>
    <t>Equation from Regression Analysis of data provided in Paper</t>
  </si>
  <si>
    <t>GPM</t>
  </si>
  <si>
    <t>A</t>
  </si>
  <si>
    <t>B</t>
  </si>
  <si>
    <t>C</t>
  </si>
  <si>
    <t>C6</t>
  </si>
  <si>
    <t>C7</t>
  </si>
  <si>
    <t>C8</t>
  </si>
  <si>
    <t>C9</t>
  </si>
  <si>
    <t>C6 - C9</t>
  </si>
  <si>
    <t>CHDP, F</t>
  </si>
  <si>
    <t>if C6-C9 &gt;0.2 then CHDP set to 125F</t>
  </si>
  <si>
    <t>Regression Analysis</t>
  </si>
  <si>
    <t>Y</t>
  </si>
  <si>
    <t>X =GPM</t>
  </si>
  <si>
    <t>X^2</t>
  </si>
  <si>
    <t>X^3</t>
  </si>
  <si>
    <t>Y Calc</t>
  </si>
  <si>
    <t>SUMMARY OUTPUT</t>
  </si>
  <si>
    <t>Regression Statistics</t>
  </si>
  <si>
    <t>Multiple R</t>
  </si>
  <si>
    <t>R Square</t>
  </si>
  <si>
    <t>Adjusted R Square</t>
  </si>
  <si>
    <t>Standard Error</t>
  </si>
  <si>
    <t>Observations</t>
  </si>
  <si>
    <t>Coefficients</t>
  </si>
  <si>
    <t>Intercept</t>
  </si>
  <si>
    <t>X Variable 1</t>
  </si>
  <si>
    <t>X Variable 2</t>
  </si>
  <si>
    <t>X Variable 3</t>
  </si>
  <si>
    <t xml:space="preserve"> </t>
  </si>
  <si>
    <t>Various Gas Compositions from Wellhead Separators</t>
  </si>
  <si>
    <t>Delaware Basin</t>
  </si>
  <si>
    <t>EagleFord</t>
  </si>
  <si>
    <t>Typical from Various Other Fields</t>
  </si>
  <si>
    <t>Case ====&gt;</t>
  </si>
  <si>
    <t>Ave</t>
  </si>
  <si>
    <t>Component</t>
  </si>
  <si>
    <t>mol%</t>
  </si>
  <si>
    <t>Nitrogen</t>
  </si>
  <si>
    <t>Carbon Dioxide</t>
  </si>
  <si>
    <t>Hydrogen Sulfide</t>
  </si>
  <si>
    <t>Methane</t>
  </si>
  <si>
    <t>Ethane</t>
  </si>
  <si>
    <t>Propane</t>
  </si>
  <si>
    <t>isoButane</t>
  </si>
  <si>
    <t>nButane</t>
  </si>
  <si>
    <t>isoPentane</t>
  </si>
  <si>
    <t>nPentane</t>
  </si>
  <si>
    <t>Benzene</t>
  </si>
  <si>
    <t>Toluene</t>
  </si>
  <si>
    <t>Ethylbenzene</t>
  </si>
  <si>
    <t>Xylene</t>
  </si>
  <si>
    <t>Water</t>
  </si>
  <si>
    <t>Ave Stream</t>
  </si>
  <si>
    <t>Btu/cf</t>
  </si>
  <si>
    <t>gals/Mcf</t>
  </si>
  <si>
    <t>C6-C9 calc</t>
  </si>
  <si>
    <t>C6+, mol%</t>
  </si>
  <si>
    <t>C5's,mol%</t>
  </si>
  <si>
    <t>Properties of various components of natural gas</t>
  </si>
  <si>
    <t>from GPSA Handbook</t>
  </si>
  <si>
    <t>Or use data from Compositions tab</t>
  </si>
  <si>
    <t>Standing F</t>
  </si>
  <si>
    <t>Comp</t>
  </si>
  <si>
    <t>Boiling Pt</t>
  </si>
  <si>
    <t>Vap Pres</t>
  </si>
  <si>
    <t>Freezing Pt</t>
  </si>
  <si>
    <t>Crit. Pres</t>
  </si>
  <si>
    <t>Crit. Temp</t>
  </si>
  <si>
    <t xml:space="preserve">         Density of Liquid</t>
  </si>
  <si>
    <t>Density in Vapor</t>
  </si>
  <si>
    <t>Cp ,Gas</t>
  </si>
  <si>
    <t>Cp. Liquid</t>
  </si>
  <si>
    <t>HV, gas</t>
  </si>
  <si>
    <t>HV, liq</t>
  </si>
  <si>
    <t>Formula</t>
  </si>
  <si>
    <t>MW</t>
  </si>
  <si>
    <t>F@1atm</t>
  </si>
  <si>
    <t>psia@100F</t>
  </si>
  <si>
    <t xml:space="preserve">F </t>
  </si>
  <si>
    <t>psia</t>
  </si>
  <si>
    <t>F</t>
  </si>
  <si>
    <t>Z</t>
  </si>
  <si>
    <t>Spec Grav</t>
  </si>
  <si>
    <t>lb/gal</t>
  </si>
  <si>
    <t>gal/lbmol</t>
  </si>
  <si>
    <t>ft3/lb</t>
  </si>
  <si>
    <t>Btu/lb-F</t>
  </si>
  <si>
    <t>Btu/ft3</t>
  </si>
  <si>
    <t>Btu/lb</t>
  </si>
  <si>
    <r>
      <t>b (</t>
    </r>
    <r>
      <rPr>
        <vertAlign val="superscript"/>
        <sz val="10"/>
        <rFont val="Arial"/>
        <family val="2"/>
      </rPr>
      <t>o</t>
    </r>
    <r>
      <rPr>
        <sz val="11"/>
        <color theme="1"/>
        <rFont val="Aptos Narrow"/>
        <family val="2"/>
        <scheme val="minor"/>
      </rPr>
      <t>R)</t>
    </r>
  </si>
  <si>
    <r>
      <t>T</t>
    </r>
    <r>
      <rPr>
        <vertAlign val="subscript"/>
        <sz val="10"/>
        <rFont val="Arial"/>
        <family val="2"/>
      </rPr>
      <t>B</t>
    </r>
    <r>
      <rPr>
        <sz val="11"/>
        <color theme="1"/>
        <rFont val="Aptos Narrow"/>
        <family val="2"/>
        <scheme val="minor"/>
      </rPr>
      <t xml:space="preserve"> (</t>
    </r>
    <r>
      <rPr>
        <vertAlign val="superscript"/>
        <sz val="10"/>
        <rFont val="Arial"/>
        <family val="2"/>
      </rPr>
      <t>o</t>
    </r>
    <r>
      <rPr>
        <sz val="11"/>
        <color theme="1"/>
        <rFont val="Aptos Narrow"/>
        <family val="2"/>
        <scheme val="minor"/>
      </rPr>
      <t>R)</t>
    </r>
  </si>
  <si>
    <t>N2</t>
  </si>
  <si>
    <t>CO2</t>
  </si>
  <si>
    <t>H2S</t>
  </si>
  <si>
    <t>CH4</t>
  </si>
  <si>
    <t>C2H6</t>
  </si>
  <si>
    <t>C3H8</t>
  </si>
  <si>
    <t>C4H10</t>
  </si>
  <si>
    <t>C5H12</t>
  </si>
  <si>
    <t>C6H14</t>
  </si>
  <si>
    <t>C7+</t>
  </si>
  <si>
    <t>C7H8</t>
  </si>
  <si>
    <t>C8H10</t>
  </si>
  <si>
    <t>H20</t>
  </si>
  <si>
    <t>Stream (1)</t>
  </si>
  <si>
    <t xml:space="preserve">  </t>
  </si>
  <si>
    <t>(1) weighted average</t>
  </si>
  <si>
    <t>Input - from Properties Tab</t>
  </si>
  <si>
    <t xml:space="preserve">It can also be thought of as the minimum temperature above which no condensation of hydrocarbons occurs at a specified pressure. </t>
  </si>
  <si>
    <t>The Hydrocarbon Dew Point ( HDP) is defined as the point at which the first droplet of hydrocarbon liquid condenses from the vapor.</t>
  </si>
  <si>
    <t>The Cricondentherm Hydrocarbon Dew Point (CHDP) defines the  maximum temperature at which this condensation can occur regardless of pressure.</t>
  </si>
  <si>
    <t>Estimating Cricondentherm Hydrocarbon Dew Point and compostion of C6+ components in natural gas</t>
  </si>
  <si>
    <t>Multicomponent Equilibrium Flash Calculation</t>
  </si>
  <si>
    <t>http://excelcalculations.blogspot.com/2011/07/equilibrium-flash-excel.html</t>
  </si>
  <si>
    <t>Feed Rate, moles/hr</t>
  </si>
  <si>
    <t>Feed Temperature, F</t>
  </si>
  <si>
    <t>Parameters used by Solver</t>
  </si>
  <si>
    <t>Feed Pressure, psia</t>
  </si>
  <si>
    <t xml:space="preserve">enter 1 to calulate using Wilson Correlation K values, 2 for Standing Correlation K values </t>
  </si>
  <si>
    <t>Eq Const (K value)</t>
  </si>
  <si>
    <t>Moles in Feed</t>
  </si>
  <si>
    <t>Mole fraction in feed</t>
  </si>
  <si>
    <t>Rachford-Rice equation</t>
  </si>
  <si>
    <t>Moles in liquid</t>
  </si>
  <si>
    <t>Moles in vapour</t>
  </si>
  <si>
    <t>Mole fraction in liquid</t>
  </si>
  <si>
    <t>Mole fraction in vapor</t>
  </si>
  <si>
    <t>C1</t>
  </si>
  <si>
    <t xml:space="preserve">C2 </t>
  </si>
  <si>
    <t>C3</t>
  </si>
  <si>
    <t>iC4</t>
  </si>
  <si>
    <t>nC4</t>
  </si>
  <si>
    <t>iC5</t>
  </si>
  <si>
    <t>nC5</t>
  </si>
  <si>
    <t>TOTALS</t>
  </si>
  <si>
    <t>Fraction of feed that is vaporized</t>
  </si>
  <si>
    <t>To execute program, go to Data on ribbon, then select Solver- then select GRG Nonlinear and click on "Solve"</t>
  </si>
  <si>
    <t>Rachford - Rice Equation</t>
  </si>
  <si>
    <r>
      <t>where z</t>
    </r>
    <r>
      <rPr>
        <vertAlign val="subscript"/>
        <sz val="10"/>
        <rFont val="Trebuchet MS"/>
        <family val="2"/>
      </rPr>
      <t>i</t>
    </r>
    <r>
      <rPr>
        <sz val="10"/>
        <rFont val="Trebuchet MS"/>
        <family val="2"/>
      </rPr>
      <t> is the mole fraction of component i in the liquid feed, K</t>
    </r>
    <r>
      <rPr>
        <vertAlign val="subscript"/>
        <sz val="10"/>
        <rFont val="Trebuchet MS"/>
        <family val="2"/>
      </rPr>
      <t>i</t>
    </r>
    <r>
      <rPr>
        <sz val="10"/>
        <rFont val="Trebuchet MS"/>
        <family val="2"/>
      </rPr>
      <t xml:space="preserve"> is the equilibrium constant </t>
    </r>
  </si>
  <si>
    <t>(at the appropriate temperature and pressure) and β is the fraction of feed that is vaporised. Obviously, β is between 0 and 1.</t>
  </si>
  <si>
    <t>xi = zi/(1-B+B*Ki)</t>
  </si>
  <si>
    <t>B = fraction of feed vaporized</t>
  </si>
  <si>
    <t>yi=Ki*xi</t>
  </si>
  <si>
    <t>Determining K values for natural gas streams with pressures &lt;1000 psia and temperatures &lt;200 F</t>
  </si>
  <si>
    <t>developed by Wayne Landon</t>
  </si>
  <si>
    <t>Standing Correlation</t>
  </si>
  <si>
    <t>Wilson Correlation</t>
  </si>
  <si>
    <r>
      <t>K</t>
    </r>
    <r>
      <rPr>
        <vertAlign val="subscript"/>
        <sz val="11"/>
        <color theme="1"/>
        <rFont val="Aptos Narrow"/>
        <family val="2"/>
        <scheme val="minor"/>
      </rPr>
      <t>i</t>
    </r>
    <r>
      <rPr>
        <sz val="11"/>
        <color theme="1"/>
        <rFont val="Aptos Narrow"/>
        <family val="2"/>
        <scheme val="minor"/>
      </rPr>
      <t xml:space="preserve"> = 1/P*10^(a+c*F</t>
    </r>
    <r>
      <rPr>
        <vertAlign val="subscript"/>
        <sz val="11"/>
        <color theme="1"/>
        <rFont val="Aptos Narrow"/>
        <family val="2"/>
        <scheme val="minor"/>
      </rPr>
      <t>i</t>
    </r>
    <r>
      <rPr>
        <sz val="11"/>
        <color theme="1"/>
        <rFont val="Aptos Narrow"/>
        <family val="2"/>
        <scheme val="minor"/>
      </rPr>
      <t>) = equilibrium ratio of component i</t>
    </r>
  </si>
  <si>
    <r>
      <t>K</t>
    </r>
    <r>
      <rPr>
        <vertAlign val="subscript"/>
        <sz val="11"/>
        <color theme="1"/>
        <rFont val="Aptos Narrow"/>
        <family val="2"/>
        <scheme val="minor"/>
      </rPr>
      <t>i</t>
    </r>
    <r>
      <rPr>
        <sz val="11"/>
        <color theme="1"/>
        <rFont val="Aptos Narrow"/>
        <family val="2"/>
        <scheme val="minor"/>
      </rPr>
      <t xml:space="preserve"> = P</t>
    </r>
    <r>
      <rPr>
        <vertAlign val="subscript"/>
        <sz val="11"/>
        <color theme="1"/>
        <rFont val="Aptos Narrow"/>
        <family val="2"/>
        <scheme val="minor"/>
      </rPr>
      <t>ci</t>
    </r>
    <r>
      <rPr>
        <sz val="11"/>
        <color theme="1"/>
        <rFont val="Aptos Narrow"/>
        <family val="2"/>
        <scheme val="minor"/>
      </rPr>
      <t>/P*exp(5.37*(1+w</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ci</t>
    </r>
    <r>
      <rPr>
        <sz val="11"/>
        <color theme="1"/>
        <rFont val="Aptos Narrow"/>
        <family val="2"/>
        <scheme val="minor"/>
      </rPr>
      <t>/T))</t>
    </r>
  </si>
  <si>
    <r>
      <t>F</t>
    </r>
    <r>
      <rPr>
        <vertAlign val="subscript"/>
        <sz val="11"/>
        <color theme="1"/>
        <rFont val="Aptos Narrow"/>
        <family val="2"/>
        <scheme val="minor"/>
      </rPr>
      <t>i</t>
    </r>
    <r>
      <rPr>
        <sz val="11"/>
        <color theme="1"/>
        <rFont val="Aptos Narrow"/>
        <family val="2"/>
        <scheme val="minor"/>
      </rPr>
      <t xml:space="preserve"> = b</t>
    </r>
    <r>
      <rPr>
        <vertAlign val="subscript"/>
        <sz val="11"/>
        <color theme="1"/>
        <rFont val="Aptos Narrow"/>
        <family val="2"/>
        <scheme val="minor"/>
      </rPr>
      <t>i</t>
    </r>
    <r>
      <rPr>
        <sz val="11"/>
        <color theme="1"/>
        <rFont val="Aptos Narrow"/>
        <family val="2"/>
        <scheme val="minor"/>
      </rPr>
      <t>*(1/T</t>
    </r>
    <r>
      <rPr>
        <vertAlign val="subscript"/>
        <sz val="11"/>
        <color theme="1"/>
        <rFont val="Aptos Narrow"/>
        <family val="2"/>
        <scheme val="minor"/>
      </rPr>
      <t>bi</t>
    </r>
    <r>
      <rPr>
        <sz val="11"/>
        <color theme="1"/>
        <rFont val="Aptos Narrow"/>
        <family val="2"/>
        <scheme val="minor"/>
      </rPr>
      <t>-1/T) = component charaterization factor</t>
    </r>
  </si>
  <si>
    <r>
      <t>w</t>
    </r>
    <r>
      <rPr>
        <vertAlign val="subscript"/>
        <sz val="11"/>
        <color theme="1"/>
        <rFont val="Aptos Narrow"/>
        <family val="2"/>
        <scheme val="minor"/>
      </rPr>
      <t>i</t>
    </r>
    <r>
      <rPr>
        <sz val="11"/>
        <color theme="1"/>
        <rFont val="Aptos Narrow"/>
        <family val="2"/>
        <scheme val="minor"/>
      </rPr>
      <t xml:space="preserve"> = acentric factor for component I </t>
    </r>
  </si>
  <si>
    <t>T = system temperature, R</t>
  </si>
  <si>
    <r>
      <t>T</t>
    </r>
    <r>
      <rPr>
        <vertAlign val="subscript"/>
        <sz val="11"/>
        <color theme="1"/>
        <rFont val="Aptos Narrow"/>
        <family val="2"/>
        <scheme val="minor"/>
      </rPr>
      <t xml:space="preserve">ci </t>
    </r>
    <r>
      <rPr>
        <sz val="11"/>
        <color theme="1"/>
        <rFont val="Aptos Narrow"/>
        <family val="2"/>
        <scheme val="minor"/>
      </rPr>
      <t>= critical temperature for component i</t>
    </r>
  </si>
  <si>
    <t>P = psia</t>
  </si>
  <si>
    <t>P = system pressure, psia</t>
  </si>
  <si>
    <r>
      <t>P</t>
    </r>
    <r>
      <rPr>
        <vertAlign val="subscript"/>
        <sz val="11"/>
        <color theme="1"/>
        <rFont val="Aptos Narrow"/>
        <family val="2"/>
        <scheme val="minor"/>
      </rPr>
      <t>ci</t>
    </r>
    <r>
      <rPr>
        <sz val="11"/>
        <color theme="1"/>
        <rFont val="Aptos Narrow"/>
        <family val="2"/>
        <scheme val="minor"/>
      </rPr>
      <t xml:space="preserve"> = critical pressure for component i</t>
    </r>
  </si>
  <si>
    <r>
      <t>T</t>
    </r>
    <r>
      <rPr>
        <vertAlign val="subscript"/>
        <sz val="11"/>
        <color theme="1"/>
        <rFont val="Aptos Narrow"/>
        <family val="2"/>
        <scheme val="minor"/>
      </rPr>
      <t>bi</t>
    </r>
    <r>
      <rPr>
        <sz val="11"/>
        <color theme="1"/>
        <rFont val="Aptos Narrow"/>
        <family val="2"/>
        <scheme val="minor"/>
      </rPr>
      <t xml:space="preserve"> = normal boiling point of component i, deg R</t>
    </r>
  </si>
  <si>
    <t>bi =( log(Pci/14.7))/(1/Tbi - 1/Tci)</t>
  </si>
  <si>
    <t>a = 1.2+0.00045*P+15(10^-8)*P^2</t>
  </si>
  <si>
    <t>c= 0.89-0.00017*P-3.5(10^-8)*P^2</t>
  </si>
  <si>
    <t>n(C7+) = 7.3+0.0075*T+0.0016*P, where T is in deg F</t>
  </si>
  <si>
    <t>b (C7+) = 1013+324*n-4.256*n^2</t>
  </si>
  <si>
    <r>
      <t>T</t>
    </r>
    <r>
      <rPr>
        <vertAlign val="subscript"/>
        <sz val="11"/>
        <color theme="1"/>
        <rFont val="Aptos Narrow"/>
        <family val="2"/>
        <scheme val="minor"/>
      </rPr>
      <t>b( C7+)</t>
    </r>
    <r>
      <rPr>
        <sz val="11"/>
        <color theme="1"/>
        <rFont val="Aptos Narrow"/>
        <family val="2"/>
        <scheme val="minor"/>
      </rPr>
      <t>=301+59.85*n-0.971*n^2</t>
    </r>
  </si>
  <si>
    <t>``</t>
  </si>
  <si>
    <t>Standing</t>
  </si>
  <si>
    <t>Wilson</t>
  </si>
  <si>
    <r>
      <t>P</t>
    </r>
    <r>
      <rPr>
        <b/>
        <i/>
        <vertAlign val="subscript"/>
        <sz val="11"/>
        <color theme="1"/>
        <rFont val="Aptos Narrow"/>
        <family val="2"/>
        <scheme val="minor"/>
      </rPr>
      <t>ci</t>
    </r>
    <r>
      <rPr>
        <b/>
        <i/>
        <sz val="11"/>
        <color theme="1"/>
        <rFont val="Aptos Narrow"/>
        <family val="2"/>
        <scheme val="minor"/>
      </rPr>
      <t xml:space="preserve"> (psia)</t>
    </r>
  </si>
  <si>
    <r>
      <t>T</t>
    </r>
    <r>
      <rPr>
        <b/>
        <i/>
        <vertAlign val="subscript"/>
        <sz val="11"/>
        <color theme="1"/>
        <rFont val="Aptos Narrow"/>
        <family val="2"/>
        <scheme val="minor"/>
      </rPr>
      <t>ci</t>
    </r>
    <r>
      <rPr>
        <b/>
        <i/>
        <sz val="11"/>
        <color theme="1"/>
        <rFont val="Aptos Narrow"/>
        <family val="2"/>
        <scheme val="minor"/>
      </rPr>
      <t xml:space="preserve"> (deg R)</t>
    </r>
  </si>
  <si>
    <t>w</t>
  </si>
  <si>
    <r>
      <t>b</t>
    </r>
    <r>
      <rPr>
        <b/>
        <i/>
        <vertAlign val="subscript"/>
        <sz val="11"/>
        <color theme="1"/>
        <rFont val="Aptos Narrow"/>
        <family val="2"/>
        <scheme val="minor"/>
      </rPr>
      <t>i</t>
    </r>
  </si>
  <si>
    <r>
      <t>T</t>
    </r>
    <r>
      <rPr>
        <b/>
        <i/>
        <vertAlign val="subscript"/>
        <sz val="11"/>
        <color theme="1"/>
        <rFont val="Aptos Narrow"/>
        <family val="2"/>
        <scheme val="minor"/>
      </rPr>
      <t>bi</t>
    </r>
  </si>
  <si>
    <r>
      <t>F</t>
    </r>
    <r>
      <rPr>
        <b/>
        <i/>
        <vertAlign val="subscript"/>
        <sz val="11"/>
        <color theme="1"/>
        <rFont val="Aptos Narrow"/>
        <family val="2"/>
        <scheme val="minor"/>
      </rPr>
      <t>i</t>
    </r>
  </si>
  <si>
    <r>
      <t>K</t>
    </r>
    <r>
      <rPr>
        <b/>
        <i/>
        <vertAlign val="subscript"/>
        <sz val="11"/>
        <color theme="1"/>
        <rFont val="Aptos Narrow"/>
        <family val="2"/>
        <scheme val="minor"/>
      </rPr>
      <t>i</t>
    </r>
  </si>
  <si>
    <t>C2</t>
  </si>
  <si>
    <t>Reference:  Reservoir Engineering Handbook 4th Ed by Tarek Hamed</t>
  </si>
  <si>
    <t>Equilibrium Ratios, Whitson Wiki, https://wiki.whitson.com/phase_behavior/properties/kvalues/</t>
  </si>
  <si>
    <t>Standing Correlation - an overview | ScienceDirect Topics</t>
  </si>
  <si>
    <t>Standing's Correlation</t>
  </si>
  <si>
    <t>Hoffmann etal.(1953), Brinkman and Sicking (1960), Kehn(1964), and Dykstra and Mueller (1965) suggested that any pure hydrocarbon or nonhydrocarbon component could be uniquely characterized by combining its boiling-point temperature, critical temperature, and critical pressure into a characterization parameter that is defined by the following expression:</t>
  </si>
  <si>
    <t>(15-18)Fi=bi[1/Tbi−1/T]</t>
  </si>
  <si>
    <t>with</t>
  </si>
  <si>
    <t>(15-19)bi=log(pci/14.7)[1/Tbi−1/Tci]</t>
  </si>
  <si>
    <t>where Fi = component characterization factor</t>
  </si>
  <si>
    <t>Tbi = normal boiling point of component i, °R</t>
  </si>
  <si>
    <t>Standing (1979) derived a set of equations that fit the equilibrium ratio data of Katz and Hachmuth (1937) at pressures of less than 1,000 psia and temperatures below 200°F. The proposed form of the correlation is based on an observation that plots of log(Kip) vs. Fi at a given pressure often form straight lines. The basic equation of the straight-line relationship is given by:</t>
  </si>
  <si>
    <t>log(Kip)=a+cFi</t>
  </si>
  <si>
    <t>Solving for the equilibrium ratio Ki gives:</t>
  </si>
  <si>
    <t>(15-20)Ki=1/p*10^(a+c*Fi)</t>
  </si>
  <si>
    <t>where the coefficients a and c are the intercept and the slope of the line, respectively.</t>
  </si>
  <si>
    <t>From a total of six isobar plots of log(Kip) vs. Fi for 18 sets of equilibrium ratio values, Standing correlated the coefficients a and c with the pressure, to give:</t>
  </si>
  <si>
    <t>(15-21)a=1.2+0.00045p+15(10−8)p2</t>
  </si>
  <si>
    <t>(15-22)c=0.89−0.00017p+3.5(10−8)p2</t>
  </si>
  <si>
    <t>Standing pointed out that the predicted values of the equilibrium ratios of N2, CO2, H2S, and C1 through C6 can be improved considerably by changing the correlating parameter bi and the boiling point of these components. The author proposed the following modified values:</t>
  </si>
  <si>
    <t>bi</t>
  </si>
  <si>
    <t>Tbi °R</t>
  </si>
  <si>
    <t>i – C4</t>
  </si>
  <si>
    <t>n – C4</t>
  </si>
  <si>
    <t>i – C5</t>
  </si>
  <si>
    <t>n – C5</t>
  </si>
  <si>
    <t>C6*</t>
  </si>
  <si>
    <t>n – C6</t>
  </si>
  <si>
    <t>n – C7</t>
  </si>
  <si>
    <t>n – C8</t>
  </si>
  <si>
    <t>n – C9</t>
  </si>
  <si>
    <t>n – C10</t>
  </si>
  <si>
    <t>*</t>
  </si>
  <si>
    <t>Lumped Hexanes-fraction.</t>
  </si>
  <si>
    <t>When making flash calculations, the question of the equilibrium ratio to use for the lumped heptanes-plus fraction always arises. One rule of thumb proposed by Katz and Hachmuth (1937) is that the K value for C7+ can be taken as 15% of the K of C7, or:</t>
  </si>
  <si>
    <t>KC7+=0.15KC7+</t>
  </si>
  <si>
    <t>Standing (1979) offered an alternative approach for determining the K value of the heptanes and heavier fractions. By imposing experimental equilibrium ratio values for C7+ on Equation 15-20, Standing calculated the corresponding characterization factors Fi for the plus fraction. The calculated Fi values were used to specify the pure normal paraffin hydrocarbon having the K value of the C7+ fraction.</t>
  </si>
  <si>
    <t>Standing suggested the following computational steps for determining the parameters b and Tb of the heptanes-plus fraction.</t>
  </si>
  <si>
    <t>Step 1.</t>
  </si>
  <si>
    <t>Determine, from the following relationship, the number of carbon atoms n of the normal paraffin hydrocarbon having the K value of the C7+ fraction,</t>
  </si>
  <si>
    <t>(15-23)n=7.30+0.0075(T−460)+0.0016p</t>
  </si>
  <si>
    <t>Step 2.</t>
  </si>
  <si>
    <t>Calculate the correlating parameter b and the boiling point Tb from the following expression:</t>
  </si>
  <si>
    <t>(15-24)b=1013+324n−4.256n2</t>
  </si>
  <si>
    <t>(15-25)Tb=301+59.85n−0.971n2</t>
  </si>
  <si>
    <t>The above calculated values can then be used in Equation 15-18 to evaluate Fi for the heptanes-plus fraction, i.e., FC7+. It is also interesting to note that experimental phase equilibria data suggest that the equilibrium ratio for carbon dioxide can be closely approximated by the following relationship:</t>
  </si>
  <si>
    <t>KCO2=KC1KC2</t>
  </si>
  <si>
    <t>where KCO2 = equilibrium ratio of CO2</t>
  </si>
  <si>
    <t>KC1 = equilibrium ratio of methane</t>
  </si>
  <si>
    <t>KC2 = equilibrium ratio of ethane</t>
  </si>
  <si>
    <t>Example 15-2</t>
  </si>
  <si>
    <t>A hydrocarbon mixture with the following composition is flashed at 1,000 psia and 150°F.</t>
  </si>
  <si>
    <t>zi</t>
  </si>
  <si>
    <t>If the molecular weight and specific gravity of C7+ are 150.0 and 0.78, respectively, calculate the equilibrium ratios by using:</t>
  </si>
  <si>
    <t>a.</t>
  </si>
  <si>
    <t>Wilson's correlation</t>
  </si>
  <si>
    <t>b.</t>
  </si>
  <si>
    <t>Standing's correlation</t>
  </si>
  <si>
    <t>Solution</t>
  </si>
  <si>
    <t>Calculate the critical pressure, critical temperature, and acentric factor of C7+ by using the characterization method of Riazi and Daubert discussed in Chapter 1. Example 1-1, page 27, gives:</t>
  </si>
  <si>
    <t>Tc = 1139.4°R, pc = 320.3 psia, ω =0.5067</t>
  </si>
  <si>
    <t>Apply Equation 15-17 to give:</t>
  </si>
  <si>
    <t>Pc, psia</t>
  </si>
  <si>
    <t>Tc, °R</t>
  </si>
  <si>
    <t>ω</t>
  </si>
  <si>
    <t>Ki=pd1000exp[5.37(1+ωi)(1−Td610)]</t>
  </si>
  <si>
    <t>Calculate coefficients a and c from Equations 15-21 and 15-22 to give:</t>
  </si>
  <si>
    <t>a=1.2+0.00045(1000)+15(10−8)(1000)2=1.80c=0.89−0.00017(1000)−3.5(10−8)(1000)2=0.685</t>
  </si>
  <si>
    <t>Calculate the number of carbon atoms n from Equation 15-23 to give:</t>
  </si>
  <si>
    <t>n=7.3+0.0075(150)+0.0016(1000)=10.025</t>
  </si>
  <si>
    <t>Step 3.</t>
  </si>
  <si>
    <t>Determine the parameter b and the boiling point Tb for the hydrocarbon component with n carbon atoms by using Equations 15-24 and 15-25 to yield:</t>
  </si>
  <si>
    <t>b=1013+324(10.025)−4.256(10.025)2=3833.369Tb=301+59.85(10.025)−0.971(10.025)2=803.41°R</t>
  </si>
  <si>
    <t>Step 4.</t>
  </si>
  <si>
    <t>Apply Equation 15-20, to give:</t>
  </si>
  <si>
    <t>Empty Cell</t>
  </si>
  <si>
    <t>Fi</t>
  </si>
  <si>
    <t>Ki</t>
  </si>
  <si>
    <t>Tbi</t>
  </si>
  <si>
    <t>Eq. 15-18</t>
  </si>
  <si>
    <t>Eq. 15-20</t>
  </si>
  <si>
    <t>− 1.513</t>
  </si>
  <si>
    <t>Show less</t>
  </si>
  <si>
    <t>View chapter</t>
  </si>
  <si>
    <t>Book</t>
  </si>
  <si>
    <t>2010, Reservoir Engineering Handbook (Fourth Edition)</t>
  </si>
  <si>
    <t>Tarek Ahmed</t>
  </si>
  <si>
    <t>Chapter</t>
  </si>
  <si>
    <t>Equations of State and Phase Equilibria</t>
  </si>
  <si>
    <t>Step 3</t>
  </si>
  <si>
    <t>Flash the original composition through the first separator by generating the equilibrium ratios using the Standing correlation (equation 5-20) to give the results in the following table, with nL = 0.7209 and nυ = 0.29791.</t>
  </si>
  <si>
    <t>xi</t>
  </si>
  <si>
    <t>yi</t>
  </si>
  <si>
    <t>Mi</t>
  </si>
  <si>
    <t>i-C4</t>
  </si>
  <si>
    <t>n-C4</t>
  </si>
  <si>
    <t>i-C5</t>
  </si>
  <si>
    <t>n-C5</t>
  </si>
  <si>
    <t>PengRobinson</t>
  </si>
  <si>
    <t>V/F</t>
  </si>
  <si>
    <t>T, F</t>
  </si>
  <si>
    <t>P, psia</t>
  </si>
  <si>
    <t>Comparison of three vapor liquid equilibrium equations for 5.2GPM, 1174 Btu/cf well-head natural gas stream</t>
  </si>
  <si>
    <t>Peng Robinson results were provided with the use of DWSim process simulator</t>
  </si>
  <si>
    <t>Standing and Wilson results were provided from models above</t>
  </si>
  <si>
    <t>Author recommends using the Standing correlation. especially when pressures exceed 400 psia (see analysis below, row 230)</t>
  </si>
  <si>
    <t>waynelandon13@gmail.com</t>
  </si>
  <si>
    <t>This model estimates the cricondentherm hydrocarbon dew point as well as an estimate of the composition of the C6+ components in a natural gas stream.</t>
  </si>
  <si>
    <t>Also provided in this model is a Compostions tab which provides data on the composition of various well head gas streams, a Properties tab which provides</t>
  </si>
  <si>
    <t xml:space="preserve">properties of various components and estimates of the overall mix properties, and a Flash tab which will provide vapor liquid equilibrium data for a given </t>
  </si>
  <si>
    <t>Estimate the CHDP, HDP and C6+ composition of the following gas stream at 80F and 600psia</t>
  </si>
  <si>
    <t>The above compositional information is input into Tab Properties</t>
  </si>
  <si>
    <t>The pressure and temperature information is input in Tab Flash</t>
  </si>
  <si>
    <t>Click on Tab HDP to see the results</t>
  </si>
  <si>
    <t>Click on Flash Tab</t>
  </si>
  <si>
    <t>Then click on Data in ribbon on top of worksheet, then click on Solver to see results</t>
  </si>
  <si>
    <t>Select the model you want to use 1 for Wilson, 2 for Standing - 1 is selected for this example</t>
  </si>
  <si>
    <t>Example</t>
  </si>
  <si>
    <t>The model was constructed based on the data provided  in the paper "Practial Hydrocarbon Dew Point Specs".  Authors Bullin, Fitz and Dustman</t>
  </si>
  <si>
    <t xml:space="preserve">natural gas stream.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</si>
</sst>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0000"/>
    <numFmt numFmtId="166" formatCode="0.0"/>
    <numFmt numFmtId="167" formatCode="0.000"/>
    <numFmt numFmtId="168" formatCode="0.00000"/>
  </numFmts>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6"/>
      <color theme="1"/>
      <name val="Aptos Narrow"/>
      <family val="2"/>
      <scheme val="minor"/>
    </font>
    <font>
      <i/>
      <sz val="11"/>
      <color theme="1"/>
      <name val="Aptos Narrow"/>
      <family val="2"/>
      <scheme val="minor"/>
    </font>
    <font>
      <u/>
      <sz val="11"/>
      <color theme="1"/>
      <name val="Aptos Narrow"/>
      <family val="2"/>
      <scheme val="minor"/>
    </font>
    <font>
      <b/>
      <sz val="14"/>
      <color theme="1"/>
      <name val="Aptos Narrow"/>
      <family val="2"/>
      <scheme val="minor"/>
    </font>
    <font>
      <sz val="9"/>
      <color theme="1"/>
      <name val="Aptos Narrow"/>
      <family val="2"/>
      <scheme val="minor"/>
    </font>
    <font>
      <vertAlign val="superscript"/>
      <sz val="10"/>
      <name val="Arial"/>
      <family val="2"/>
    </font>
    <font>
      <vertAlign val="subscript"/>
      <sz val="10"/>
      <name val="Arial"/>
      <family val="2"/>
    </font>
    <font>
      <sz val="8"/>
      <name val="Aptos Narrow"/>
      <family val="2"/>
      <scheme val="minor"/>
    </font>
    <font>
      <sz val="11"/>
      <name val="Aptos Narrow"/>
      <family val="2"/>
      <scheme val="minor"/>
    </font>
    <font>
      <b/>
      <sz val="20"/>
      <color theme="1"/>
      <name val="Aptos Narrow"/>
      <family val="2"/>
      <scheme val="minor"/>
    </font>
    <font>
      <b/>
      <i/>
      <sz val="11"/>
      <color theme="1"/>
      <name val="Aptos Narrow"/>
      <family val="2"/>
      <scheme val="minor"/>
    </font>
    <font>
      <b/>
      <sz val="10"/>
      <color theme="1"/>
      <name val="Aptos Narrow"/>
      <family val="2"/>
      <scheme val="minor"/>
    </font>
    <font>
      <sz val="10"/>
      <name val="Trebuchet MS"/>
      <family val="2"/>
    </font>
    <font>
      <vertAlign val="subscript"/>
      <sz val="10"/>
      <name val="Trebuchet MS"/>
      <family val="2"/>
    </font>
    <font>
      <vertAlign val="subscript"/>
      <sz val="11"/>
      <color theme="1"/>
      <name val="Aptos Narrow"/>
      <family val="2"/>
      <scheme val="minor"/>
    </font>
    <font>
      <b/>
      <i/>
      <vertAlign val="subscript"/>
      <sz val="11"/>
      <color theme="1"/>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65">
    <xf numFmtId="0" fontId="0" fillId="0" borderId="0" xfId="0"/>
    <xf numFmtId="0" fontId="3" fillId="2" borderId="0" xfId="0" applyFont="1" applyFill="1"/>
    <xf numFmtId="0" fontId="0" fillId="2" borderId="0" xfId="0" applyFill="1"/>
    <xf numFmtId="0" fontId="2" fillId="0" borderId="0" xfId="1"/>
    <xf numFmtId="0" fontId="0" fillId="2" borderId="0" xfId="0" applyFill="1" applyAlignment="1">
      <alignment horizontal="center"/>
    </xf>
    <xf numFmtId="1" fontId="0" fillId="2" borderId="0" xfId="0" applyNumberFormat="1" applyFill="1" applyAlignment="1">
      <alignment horizontal="center"/>
    </xf>
    <xf numFmtId="0" fontId="4" fillId="2" borderId="2" xfId="0" applyFont="1" applyFill="1" applyBorder="1" applyAlignment="1">
      <alignment horizontal="centerContinuous"/>
    </xf>
    <xf numFmtId="0" fontId="0" fillId="2" borderId="3" xfId="0" applyFill="1" applyBorder="1"/>
    <xf numFmtId="0" fontId="4" fillId="2" borderId="2" xfId="0" applyFont="1" applyFill="1" applyBorder="1" applyAlignment="1">
      <alignment horizontal="center"/>
    </xf>
    <xf numFmtId="1" fontId="0" fillId="2" borderId="0" xfId="0" applyNumberFormat="1" applyFill="1"/>
    <xf numFmtId="164" fontId="0" fillId="3" borderId="1" xfId="0" applyNumberFormat="1" applyFill="1" applyBorder="1" applyAlignment="1">
      <alignment horizontal="center"/>
    </xf>
    <xf numFmtId="2" fontId="0" fillId="4" borderId="0" xfId="0" applyNumberFormat="1" applyFill="1" applyAlignment="1">
      <alignment horizontal="center"/>
    </xf>
    <xf numFmtId="0" fontId="5" fillId="2" borderId="0" xfId="0" applyFont="1" applyFill="1"/>
    <xf numFmtId="0" fontId="0" fillId="5" borderId="0" xfId="0" applyFill="1"/>
    <xf numFmtId="0" fontId="0" fillId="5" borderId="0" xfId="0" applyFill="1" applyAlignment="1">
      <alignment horizontal="center"/>
    </xf>
    <xf numFmtId="0" fontId="6" fillId="2" borderId="0" xfId="0" applyFont="1" applyFill="1"/>
    <xf numFmtId="0" fontId="0" fillId="2" borderId="4" xfId="0" applyFill="1" applyBorder="1"/>
    <xf numFmtId="0" fontId="1" fillId="2" borderId="5" xfId="0" applyFont="1" applyFill="1" applyBorder="1"/>
    <xf numFmtId="0" fontId="0" fillId="2" borderId="5" xfId="0" applyFill="1" applyBorder="1"/>
    <xf numFmtId="0" fontId="0" fillId="2" borderId="6" xfId="0" applyFill="1" applyBorder="1"/>
    <xf numFmtId="0" fontId="0" fillId="0" borderId="7" xfId="0"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10" fontId="0" fillId="2" borderId="18" xfId="0" applyNumberFormat="1" applyFill="1" applyBorder="1" applyAlignment="1">
      <alignment horizontal="center"/>
    </xf>
    <xf numFmtId="10" fontId="0" fillId="2" borderId="1" xfId="0" applyNumberFormat="1" applyFill="1" applyBorder="1" applyAlignment="1">
      <alignment horizontal="center"/>
    </xf>
    <xf numFmtId="10" fontId="0" fillId="2" borderId="17" xfId="0" applyNumberFormat="1" applyFill="1" applyBorder="1" applyAlignment="1">
      <alignment horizontal="center"/>
    </xf>
    <xf numFmtId="10" fontId="0" fillId="2" borderId="19" xfId="0" applyNumberFormat="1" applyFill="1" applyBorder="1" applyAlignment="1">
      <alignment horizontal="center"/>
    </xf>
    <xf numFmtId="10" fontId="0" fillId="2" borderId="13" xfId="0" applyNumberFormat="1" applyFill="1" applyBorder="1" applyAlignment="1">
      <alignment horizontal="center"/>
    </xf>
    <xf numFmtId="10" fontId="0" fillId="2" borderId="20" xfId="0" applyNumberFormat="1" applyFill="1" applyBorder="1" applyAlignment="1">
      <alignment horizontal="center"/>
    </xf>
    <xf numFmtId="0" fontId="0" fillId="2" borderId="21" xfId="0" applyFill="1" applyBorder="1"/>
    <xf numFmtId="0" fontId="0" fillId="2" borderId="13" xfId="0" applyFill="1" applyBorder="1"/>
    <xf numFmtId="1" fontId="0" fillId="2" borderId="18" xfId="0" applyNumberFormat="1" applyFill="1" applyBorder="1" applyAlignment="1">
      <alignment horizontal="center"/>
    </xf>
    <xf numFmtId="1" fontId="0" fillId="2" borderId="1" xfId="0" applyNumberFormat="1" applyFill="1" applyBorder="1" applyAlignment="1">
      <alignment horizontal="center"/>
    </xf>
    <xf numFmtId="1" fontId="0" fillId="2" borderId="17" xfId="0" applyNumberFormat="1" applyFill="1" applyBorder="1" applyAlignment="1">
      <alignment horizontal="center"/>
    </xf>
    <xf numFmtId="1" fontId="0" fillId="2" borderId="19" xfId="0" applyNumberFormat="1" applyFill="1" applyBorder="1" applyAlignment="1">
      <alignment horizontal="center"/>
    </xf>
    <xf numFmtId="1" fontId="0" fillId="2" borderId="20" xfId="0" applyNumberFormat="1" applyFill="1" applyBorder="1" applyAlignment="1">
      <alignment horizontal="center"/>
    </xf>
    <xf numFmtId="0" fontId="0" fillId="2" borderId="18" xfId="0" applyFill="1" applyBorder="1" applyAlignment="1">
      <alignment horizontal="center"/>
    </xf>
    <xf numFmtId="0" fontId="0" fillId="2" borderId="1" xfId="0" applyFill="1" applyBorder="1" applyAlignment="1">
      <alignment horizontal="center"/>
    </xf>
    <xf numFmtId="166" fontId="0" fillId="2" borderId="19" xfId="0" applyNumberFormat="1" applyFill="1" applyBorder="1" applyAlignment="1">
      <alignment horizontal="center"/>
    </xf>
    <xf numFmtId="166" fontId="0" fillId="2" borderId="1" xfId="0" applyNumberFormat="1" applyFill="1" applyBorder="1" applyAlignment="1">
      <alignment horizontal="center"/>
    </xf>
    <xf numFmtId="166" fontId="0" fillId="2" borderId="17" xfId="0" applyNumberForma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10" fontId="0" fillId="2" borderId="26" xfId="0" applyNumberFormat="1" applyFill="1" applyBorder="1" applyAlignment="1">
      <alignment horizontal="center"/>
    </xf>
    <xf numFmtId="10" fontId="0" fillId="2" borderId="24" xfId="0" applyNumberFormat="1" applyFill="1" applyBorder="1" applyAlignment="1">
      <alignment horizontal="center"/>
    </xf>
    <xf numFmtId="10" fontId="0" fillId="2" borderId="25" xfId="0" applyNumberFormat="1" applyFill="1" applyBorder="1" applyAlignment="1">
      <alignment horizontal="center"/>
    </xf>
    <xf numFmtId="10" fontId="0" fillId="2" borderId="22" xfId="0" applyNumberFormat="1" applyFill="1" applyBorder="1" applyAlignment="1">
      <alignment horizontal="center"/>
    </xf>
    <xf numFmtId="10" fontId="0" fillId="2" borderId="27" xfId="0" applyNumberFormat="1" applyFill="1" applyBorder="1" applyAlignment="1">
      <alignment horizontal="center"/>
    </xf>
    <xf numFmtId="0" fontId="0" fillId="2" borderId="28" xfId="0" applyFill="1" applyBorder="1" applyAlignment="1">
      <alignment horizontal="center"/>
    </xf>
    <xf numFmtId="1" fontId="0" fillId="2" borderId="29" xfId="0" applyNumberFormat="1" applyFill="1" applyBorder="1" applyAlignment="1">
      <alignment horizontal="center"/>
    </xf>
    <xf numFmtId="1" fontId="0" fillId="2" borderId="30" xfId="0" applyNumberFormat="1" applyFill="1" applyBorder="1" applyAlignment="1">
      <alignment horizontal="center"/>
    </xf>
    <xf numFmtId="1" fontId="0" fillId="2" borderId="31" xfId="0" applyNumberFormat="1" applyFill="1" applyBorder="1" applyAlignment="1">
      <alignment horizontal="center"/>
    </xf>
    <xf numFmtId="1" fontId="0" fillId="2" borderId="32" xfId="0" applyNumberFormat="1"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1" fillId="2" borderId="37" xfId="0" applyFont="1" applyFill="1" applyBorder="1" applyAlignment="1">
      <alignment horizontal="center"/>
    </xf>
    <xf numFmtId="0" fontId="0" fillId="0" borderId="1" xfId="0" applyBorder="1" applyAlignment="1">
      <alignment horizontal="center"/>
    </xf>
    <xf numFmtId="0" fontId="0" fillId="2" borderId="1" xfId="0" applyFill="1" applyBorder="1"/>
    <xf numFmtId="0" fontId="0" fillId="2" borderId="19" xfId="0" applyFill="1" applyBorder="1"/>
    <xf numFmtId="0" fontId="0" fillId="2" borderId="20" xfId="0" applyFill="1" applyBorder="1"/>
    <xf numFmtId="0" fontId="0" fillId="2" borderId="17" xfId="0" applyFill="1" applyBorder="1"/>
    <xf numFmtId="0" fontId="0" fillId="2" borderId="18" xfId="0" applyFill="1" applyBorder="1"/>
    <xf numFmtId="10" fontId="0" fillId="2" borderId="23" xfId="0" applyNumberFormat="1" applyFill="1" applyBorder="1" applyAlignment="1">
      <alignment horizontal="center"/>
    </xf>
    <xf numFmtId="0" fontId="3" fillId="2" borderId="0" xfId="0" applyFont="1" applyFill="1" applyAlignment="1">
      <alignment horizontal="left" vertical="center"/>
    </xf>
    <xf numFmtId="2" fontId="0" fillId="2" borderId="0" xfId="0" applyNumberFormat="1" applyFill="1" applyAlignment="1">
      <alignment horizontal="center"/>
    </xf>
    <xf numFmtId="167" fontId="0" fillId="2" borderId="0" xfId="0" applyNumberFormat="1" applyFill="1" applyAlignment="1">
      <alignment horizontal="center"/>
    </xf>
    <xf numFmtId="0" fontId="0" fillId="2" borderId="0" xfId="0" applyFill="1" applyAlignment="1">
      <alignment horizontal="left" vertical="center"/>
    </xf>
    <xf numFmtId="10" fontId="0" fillId="4" borderId="1" xfId="0" applyNumberFormat="1" applyFill="1" applyBorder="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0" borderId="17" xfId="0" applyBorder="1" applyAlignment="1">
      <alignment horizontal="left" indent="3"/>
    </xf>
    <xf numFmtId="0" fontId="7" fillId="2" borderId="15" xfId="0" applyFont="1" applyFill="1" applyBorder="1" applyAlignment="1">
      <alignment horizontal="center"/>
    </xf>
    <xf numFmtId="2" fontId="0" fillId="2" borderId="1" xfId="0" applyNumberFormat="1" applyFill="1" applyBorder="1" applyAlignment="1">
      <alignment horizontal="center"/>
    </xf>
    <xf numFmtId="167" fontId="0" fillId="2" borderId="1" xfId="0" applyNumberFormat="1" applyFill="1" applyBorder="1" applyAlignment="1">
      <alignment horizontal="center"/>
    </xf>
    <xf numFmtId="0" fontId="0" fillId="0" borderId="15" xfId="0" applyBorder="1" applyAlignment="1">
      <alignment horizontal="center"/>
    </xf>
    <xf numFmtId="1" fontId="0" fillId="0" borderId="17" xfId="0" applyNumberFormat="1" applyBorder="1" applyAlignment="1">
      <alignment horizontal="center"/>
    </xf>
    <xf numFmtId="1" fontId="0" fillId="0" borderId="1" xfId="0" applyNumberFormat="1" applyBorder="1" applyAlignment="1">
      <alignment horizontal="center"/>
    </xf>
    <xf numFmtId="10" fontId="0" fillId="0" borderId="1" xfId="0" applyNumberFormat="1" applyBorder="1" applyAlignment="1">
      <alignment horizontal="center"/>
    </xf>
    <xf numFmtId="167" fontId="0" fillId="0" borderId="1" xfId="0" applyNumberFormat="1" applyBorder="1" applyAlignment="1">
      <alignment horizontal="center"/>
    </xf>
    <xf numFmtId="2" fontId="0" fillId="0" borderId="1" xfId="0" applyNumberFormat="1" applyBorder="1" applyAlignment="1">
      <alignment horizontal="center"/>
    </xf>
    <xf numFmtId="0" fontId="0" fillId="0" borderId="0" xfId="0" applyAlignment="1">
      <alignment horizontal="center"/>
    </xf>
    <xf numFmtId="2" fontId="0" fillId="6" borderId="1" xfId="0" applyNumberFormat="1" applyFill="1" applyBorder="1" applyAlignment="1">
      <alignment horizontal="center"/>
    </xf>
    <xf numFmtId="2" fontId="0" fillId="7" borderId="1" xfId="0" applyNumberFormat="1" applyFill="1" applyBorder="1" applyAlignment="1">
      <alignment horizontal="center"/>
    </xf>
    <xf numFmtId="165" fontId="0" fillId="2" borderId="0" xfId="0" applyNumberFormat="1" applyFill="1" applyAlignment="1">
      <alignment horizontal="center"/>
    </xf>
    <xf numFmtId="0" fontId="11" fillId="2" borderId="0" xfId="1" applyFont="1" applyFill="1"/>
    <xf numFmtId="0" fontId="11" fillId="2" borderId="0" xfId="0" applyFont="1" applyFill="1"/>
    <xf numFmtId="0" fontId="12" fillId="0" borderId="0" xfId="0" applyFont="1"/>
    <xf numFmtId="1" fontId="0" fillId="0" borderId="0" xfId="0" applyNumberFormat="1" applyAlignment="1">
      <alignment horizontal="center"/>
    </xf>
    <xf numFmtId="0" fontId="0" fillId="0" borderId="0" xfId="0" applyAlignment="1">
      <alignment horizontal="left"/>
    </xf>
    <xf numFmtId="0" fontId="0" fillId="0" borderId="0" xfId="0" applyAlignment="1">
      <alignment wrapText="1"/>
    </xf>
    <xf numFmtId="0" fontId="13" fillId="0" borderId="0" xfId="0" applyFont="1" applyAlignment="1">
      <alignment horizontal="center" vertical="center" wrapText="1"/>
    </xf>
    <xf numFmtId="164" fontId="0" fillId="2" borderId="0" xfId="0" applyNumberFormat="1" applyFill="1" applyAlignment="1">
      <alignment horizontal="center"/>
    </xf>
    <xf numFmtId="166" fontId="0" fillId="2" borderId="0" xfId="0" applyNumberFormat="1" applyFill="1" applyAlignment="1">
      <alignment horizontal="center"/>
    </xf>
    <xf numFmtId="168" fontId="0" fillId="0" borderId="0" xfId="0" applyNumberFormat="1" applyAlignment="1">
      <alignment horizontal="center"/>
    </xf>
    <xf numFmtId="168" fontId="0" fillId="2" borderId="0" xfId="0" applyNumberFormat="1" applyFill="1" applyAlignment="1">
      <alignment horizontal="center"/>
    </xf>
    <xf numFmtId="0" fontId="1" fillId="2" borderId="40" xfId="0" applyFont="1" applyFill="1" applyBorder="1" applyAlignment="1">
      <alignment horizontal="center"/>
    </xf>
    <xf numFmtId="0" fontId="0" fillId="0" borderId="41" xfId="0" applyBorder="1" applyAlignment="1">
      <alignment horizontal="center"/>
    </xf>
    <xf numFmtId="166" fontId="0" fillId="2" borderId="41" xfId="0" applyNumberFormat="1" applyFill="1" applyBorder="1" applyAlignment="1">
      <alignment horizontal="center"/>
    </xf>
    <xf numFmtId="168" fontId="0" fillId="0" borderId="41" xfId="0" applyNumberFormat="1" applyBorder="1" applyAlignment="1">
      <alignment horizontal="center"/>
    </xf>
    <xf numFmtId="168" fontId="0" fillId="2" borderId="41" xfId="0" applyNumberFormat="1" applyFill="1" applyBorder="1" applyAlignment="1">
      <alignment horizontal="center"/>
    </xf>
    <xf numFmtId="2" fontId="0" fillId="2" borderId="41" xfId="0" applyNumberFormat="1" applyFill="1" applyBorder="1" applyAlignment="1">
      <alignment horizontal="center"/>
    </xf>
    <xf numFmtId="168" fontId="0" fillId="2" borderId="42" xfId="0" applyNumberFormat="1" applyFill="1" applyBorder="1" applyAlignment="1">
      <alignment horizontal="center"/>
    </xf>
    <xf numFmtId="168" fontId="0" fillId="2" borderId="0" xfId="0" applyNumberFormat="1" applyFill="1"/>
    <xf numFmtId="0" fontId="1" fillId="0" borderId="0" xfId="0" applyFont="1"/>
    <xf numFmtId="0" fontId="0" fillId="0" borderId="0" xfId="0" applyAlignment="1">
      <alignment vertical="center"/>
    </xf>
    <xf numFmtId="0" fontId="15" fillId="0" borderId="0" xfId="0" applyFont="1" applyAlignment="1">
      <alignment horizontal="left" vertical="center"/>
    </xf>
    <xf numFmtId="0" fontId="0" fillId="0" borderId="0" xfId="0" applyAlignment="1">
      <alignment horizontal="left" vertical="center"/>
    </xf>
    <xf numFmtId="0" fontId="3" fillId="0" borderId="0" xfId="0" applyFont="1"/>
    <xf numFmtId="0" fontId="5" fillId="0" borderId="0" xfId="0" applyFont="1"/>
    <xf numFmtId="0" fontId="0" fillId="9" borderId="0" xfId="0" applyFill="1" applyAlignment="1">
      <alignment horizontal="center"/>
    </xf>
    <xf numFmtId="0" fontId="1" fillId="9" borderId="0" xfId="0" applyFont="1" applyFill="1"/>
    <xf numFmtId="0" fontId="0" fillId="9" borderId="0" xfId="0" applyFill="1"/>
    <xf numFmtId="0" fontId="0" fillId="9" borderId="0" xfId="0" applyFill="1" applyAlignment="1">
      <alignment horizontal="left" indent="2"/>
    </xf>
    <xf numFmtId="1" fontId="0" fillId="9" borderId="0" xfId="0" applyNumberFormat="1" applyFill="1" applyAlignment="1">
      <alignment horizontal="center"/>
    </xf>
    <xf numFmtId="0" fontId="13" fillId="10" borderId="0" xfId="0" applyFont="1" applyFill="1"/>
    <xf numFmtId="0" fontId="13" fillId="10" borderId="0" xfId="0" applyFont="1" applyFill="1" applyAlignment="1">
      <alignment horizontal="center"/>
    </xf>
    <xf numFmtId="0" fontId="13" fillId="10" borderId="0" xfId="0" applyFont="1" applyFill="1" applyAlignment="1">
      <alignment horizontal="center" vertical="center"/>
    </xf>
    <xf numFmtId="0" fontId="0" fillId="10" borderId="0" xfId="0" applyFill="1" applyAlignment="1">
      <alignment horizontal="center"/>
    </xf>
    <xf numFmtId="166" fontId="0" fillId="10" borderId="0" xfId="0" applyNumberFormat="1" applyFill="1" applyAlignment="1">
      <alignment horizontal="center"/>
    </xf>
    <xf numFmtId="164" fontId="0" fillId="10" borderId="0" xfId="0" applyNumberFormat="1" applyFill="1" applyAlignment="1">
      <alignment horizontal="center"/>
    </xf>
    <xf numFmtId="2" fontId="0" fillId="10" borderId="0" xfId="0" applyNumberFormat="1" applyFill="1" applyAlignment="1">
      <alignment horizontal="center"/>
    </xf>
    <xf numFmtId="1" fontId="0" fillId="10" borderId="0" xfId="0" applyNumberFormat="1" applyFill="1" applyAlignment="1">
      <alignment horizontal="center" vertical="center"/>
    </xf>
    <xf numFmtId="0" fontId="0" fillId="11" borderId="0" xfId="0" applyFill="1"/>
    <xf numFmtId="0" fontId="0" fillId="11" borderId="0" xfId="0" applyFill="1" applyAlignment="1">
      <alignment horizontal="center"/>
    </xf>
    <xf numFmtId="0" fontId="0" fillId="11" borderId="0" xfId="0" applyFill="1" applyAlignment="1">
      <alignment horizontal="center" wrapText="1"/>
    </xf>
    <xf numFmtId="164" fontId="1" fillId="11" borderId="0" xfId="0" applyNumberFormat="1" applyFont="1" applyFill="1" applyAlignment="1">
      <alignment horizontal="center" vertical="center"/>
    </xf>
    <xf numFmtId="0" fontId="0" fillId="12" borderId="17" xfId="0" applyFill="1" applyBorder="1" applyAlignment="1">
      <alignment horizontal="center"/>
    </xf>
    <xf numFmtId="0" fontId="0" fillId="12" borderId="39" xfId="0" applyFill="1" applyBorder="1" applyAlignment="1">
      <alignment horizontal="center"/>
    </xf>
    <xf numFmtId="0" fontId="0" fillId="12" borderId="18" xfId="0" applyFill="1" applyBorder="1" applyAlignment="1">
      <alignment horizontal="center"/>
    </xf>
    <xf numFmtId="1" fontId="0" fillId="12" borderId="1" xfId="0" applyNumberFormat="1" applyFill="1" applyBorder="1" applyAlignment="1">
      <alignment horizontal="center"/>
    </xf>
    <xf numFmtId="0" fontId="1" fillId="13" borderId="0" xfId="0" applyFont="1" applyFill="1"/>
    <xf numFmtId="0" fontId="0" fillId="13" borderId="0" xfId="0" applyFill="1"/>
    <xf numFmtId="0" fontId="0" fillId="13" borderId="0" xfId="0" applyFill="1" applyAlignment="1">
      <alignment horizontal="left" indent="2"/>
    </xf>
    <xf numFmtId="0" fontId="0" fillId="0" borderId="0" xfId="0" applyAlignment="1">
      <alignment horizontal="center" vertic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13" fillId="0" borderId="0" xfId="0" applyFont="1" applyAlignment="1">
      <alignment horizontal="center" vertical="center"/>
    </xf>
    <xf numFmtId="168" fontId="0" fillId="2" borderId="0" xfId="0" applyNumberFormat="1" applyFill="1" applyAlignment="1">
      <alignment horizontal="center" vertical="center"/>
    </xf>
    <xf numFmtId="0" fontId="1" fillId="0" borderId="3" xfId="0" applyFont="1" applyBorder="1" applyAlignment="1">
      <alignment horizontal="center"/>
    </xf>
    <xf numFmtId="0" fontId="6" fillId="0" borderId="0" xfId="0" applyFont="1"/>
    <xf numFmtId="0" fontId="2" fillId="2" borderId="0" xfId="1" applyFill="1"/>
    <xf numFmtId="10" fontId="0" fillId="2" borderId="0" xfId="0" applyNumberFormat="1" applyFill="1" applyAlignment="1">
      <alignment horizontal="center" vertical="center"/>
    </xf>
    <xf numFmtId="167" fontId="0" fillId="2" borderId="0" xfId="0" applyNumberFormat="1" applyFill="1" applyAlignment="1">
      <alignment horizontal="center" vertical="center"/>
    </xf>
    <xf numFmtId="2" fontId="0" fillId="2" borderId="0" xfId="0" applyNumberFormat="1" applyFill="1" applyAlignment="1">
      <alignment horizontal="center" vertical="center"/>
    </xf>
    <xf numFmtId="164" fontId="0" fillId="2" borderId="0" xfId="0" applyNumberFormat="1" applyFill="1"/>
    <xf numFmtId="0" fontId="0" fillId="2" borderId="36" xfId="0" applyFill="1" applyBorder="1" applyAlignment="1">
      <alignment horizontal="center"/>
    </xf>
    <xf numFmtId="0" fontId="0" fillId="2" borderId="38" xfId="0" applyFill="1" applyBorder="1" applyAlignment="1">
      <alignment horizontal="center"/>
    </xf>
    <xf numFmtId="0" fontId="0" fillId="2" borderId="34" xfId="0" applyFill="1" applyBorder="1" applyAlignment="1">
      <alignment horizontal="center"/>
    </xf>
    <xf numFmtId="167" fontId="0" fillId="2" borderId="36" xfId="0" applyNumberFormat="1" applyFill="1" applyBorder="1" applyAlignment="1">
      <alignment horizontal="center"/>
    </xf>
    <xf numFmtId="167" fontId="0" fillId="2" borderId="34" xfId="0" applyNumberFormat="1" applyFill="1" applyBorder="1" applyAlignment="1">
      <alignment horizontal="center"/>
    </xf>
    <xf numFmtId="0" fontId="14" fillId="8"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1496062992127"/>
          <c:y val="0.11423444597135712"/>
          <c:w val="0.86227537182852143"/>
          <c:h val="0.72753241249576939"/>
        </c:manualLayout>
      </c:layout>
      <c:scatterChart>
        <c:scatterStyle val="lineMarker"/>
        <c:varyColors val="0"/>
        <c:ser>
          <c:idx val="0"/>
          <c:order val="0"/>
          <c:tx>
            <c:strRef>
              <c:f>[3]Sheet1!$B$18</c:f>
              <c:strCache>
                <c:ptCount val="1"/>
                <c:pt idx="0">
                  <c:v>C6 - C9</c:v>
                </c:pt>
              </c:strCache>
            </c:strRef>
          </c:tx>
          <c:spPr>
            <a:ln w="28575">
              <a:noFill/>
            </a:ln>
          </c:spPr>
          <c:xVal>
            <c:numRef>
              <c:f>[3]Sheet1!$A$19:$A$32</c:f>
              <c:numCache>
                <c:formatCode>General</c:formatCode>
                <c:ptCount val="14"/>
                <c:pt idx="0">
                  <c:v>-50</c:v>
                </c:pt>
                <c:pt idx="1">
                  <c:v>-40</c:v>
                </c:pt>
                <c:pt idx="2">
                  <c:v>-40</c:v>
                </c:pt>
                <c:pt idx="3">
                  <c:v>-30</c:v>
                </c:pt>
                <c:pt idx="4">
                  <c:v>-20</c:v>
                </c:pt>
                <c:pt idx="5">
                  <c:v>-10</c:v>
                </c:pt>
                <c:pt idx="6">
                  <c:v>0</c:v>
                </c:pt>
                <c:pt idx="7">
                  <c:v>10</c:v>
                </c:pt>
                <c:pt idx="8">
                  <c:v>20</c:v>
                </c:pt>
                <c:pt idx="9">
                  <c:v>30</c:v>
                </c:pt>
                <c:pt idx="10">
                  <c:v>40</c:v>
                </c:pt>
                <c:pt idx="11">
                  <c:v>50</c:v>
                </c:pt>
                <c:pt idx="12">
                  <c:v>60</c:v>
                </c:pt>
                <c:pt idx="13">
                  <c:v>70</c:v>
                </c:pt>
              </c:numCache>
            </c:numRef>
          </c:xVal>
          <c:yVal>
            <c:numRef>
              <c:f>[3]Sheet1!$B$19:$B$32</c:f>
              <c:numCache>
                <c:formatCode>General</c:formatCode>
                <c:ptCount val="14"/>
                <c:pt idx="0">
                  <c:v>1E-4</c:v>
                </c:pt>
                <c:pt idx="1">
                  <c:v>3.0000000000000001E-3</c:v>
                </c:pt>
                <c:pt idx="2">
                  <c:v>3.0000000000000001E-3</c:v>
                </c:pt>
                <c:pt idx="3">
                  <c:v>5.0000000000000001E-3</c:v>
                </c:pt>
                <c:pt idx="4">
                  <c:v>0.01</c:v>
                </c:pt>
                <c:pt idx="5">
                  <c:v>1.6E-2</c:v>
                </c:pt>
                <c:pt idx="6">
                  <c:v>0.02</c:v>
                </c:pt>
                <c:pt idx="7">
                  <c:v>0.03</c:v>
                </c:pt>
                <c:pt idx="8">
                  <c:v>3.6999999999999998E-2</c:v>
                </c:pt>
                <c:pt idx="9">
                  <c:v>0.05</c:v>
                </c:pt>
                <c:pt idx="10">
                  <c:v>6.5000000000000002E-2</c:v>
                </c:pt>
                <c:pt idx="11">
                  <c:v>0.09</c:v>
                </c:pt>
                <c:pt idx="12">
                  <c:v>0.125</c:v>
                </c:pt>
                <c:pt idx="13">
                  <c:v>0.16</c:v>
                </c:pt>
              </c:numCache>
            </c:numRef>
          </c:yVal>
          <c:smooth val="0"/>
          <c:extLst>
            <c:ext xmlns:c16="http://schemas.microsoft.com/office/drawing/2014/chart" uri="{C3380CC4-5D6E-409C-BE32-E72D297353CC}">
              <c16:uniqueId val="{00000000-383F-44CC-B90A-3C38B1737AD8}"/>
            </c:ext>
          </c:extLst>
        </c:ser>
        <c:dLbls>
          <c:showLegendKey val="0"/>
          <c:showVal val="0"/>
          <c:showCatName val="0"/>
          <c:showSerName val="0"/>
          <c:showPercent val="0"/>
          <c:showBubbleSize val="0"/>
        </c:dLbls>
        <c:axId val="360082048"/>
        <c:axId val="360112512"/>
      </c:scatterChart>
      <c:valAx>
        <c:axId val="360082048"/>
        <c:scaling>
          <c:orientation val="minMax"/>
          <c:max val="70"/>
          <c:min val="-70"/>
        </c:scaling>
        <c:delete val="0"/>
        <c:axPos val="b"/>
        <c:title>
          <c:tx>
            <c:rich>
              <a:bodyPr/>
              <a:lstStyle/>
              <a:p>
                <a:pPr>
                  <a:defRPr/>
                </a:pPr>
                <a:r>
                  <a:rPr lang="en-US" sz="1200"/>
                  <a:t>CHDP,</a:t>
                </a:r>
                <a:r>
                  <a:rPr lang="en-US" sz="1200" baseline="0"/>
                  <a:t> F</a:t>
                </a:r>
                <a:endParaRPr lang="en-US" sz="1200"/>
              </a:p>
            </c:rich>
          </c:tx>
          <c:overlay val="0"/>
        </c:title>
        <c:numFmt formatCode="General" sourceLinked="1"/>
        <c:majorTickMark val="out"/>
        <c:minorTickMark val="none"/>
        <c:tickLblPos val="nextTo"/>
        <c:crossAx val="360112512"/>
        <c:crosses val="autoZero"/>
        <c:crossBetween val="midCat"/>
        <c:majorUnit val="20"/>
      </c:valAx>
      <c:valAx>
        <c:axId val="360112512"/>
        <c:scaling>
          <c:orientation val="minMax"/>
          <c:max val="0.18000000000000002"/>
        </c:scaling>
        <c:delete val="0"/>
        <c:axPos val="l"/>
        <c:majorGridlines/>
        <c:numFmt formatCode="General" sourceLinked="1"/>
        <c:majorTickMark val="out"/>
        <c:minorTickMark val="none"/>
        <c:tickLblPos val="nextTo"/>
        <c:crossAx val="360082048"/>
        <c:crossesAt val="-70"/>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40F and various pressures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Flash!$D$236</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Flash!$C$237:$C$241</c:f>
              <c:numCache>
                <c:formatCode>General</c:formatCode>
                <c:ptCount val="5"/>
                <c:pt idx="0">
                  <c:v>1000</c:v>
                </c:pt>
                <c:pt idx="1">
                  <c:v>800</c:v>
                </c:pt>
                <c:pt idx="2">
                  <c:v>600</c:v>
                </c:pt>
                <c:pt idx="3">
                  <c:v>400</c:v>
                </c:pt>
                <c:pt idx="4" formatCode="0">
                  <c:v>200</c:v>
                </c:pt>
              </c:numCache>
            </c:numRef>
          </c:xVal>
          <c:yVal>
            <c:numRef>
              <c:f>Flash!$D$237:$D$241</c:f>
              <c:numCache>
                <c:formatCode>General</c:formatCode>
                <c:ptCount val="5"/>
                <c:pt idx="0">
                  <c:v>0.96599999999999997</c:v>
                </c:pt>
                <c:pt idx="1">
                  <c:v>0.97</c:v>
                </c:pt>
                <c:pt idx="2">
                  <c:v>0.97899999999999998</c:v>
                </c:pt>
                <c:pt idx="3">
                  <c:v>0.98899999999999999</c:v>
                </c:pt>
                <c:pt idx="4" formatCode="0.00000">
                  <c:v>0.998</c:v>
                </c:pt>
              </c:numCache>
            </c:numRef>
          </c:yVal>
          <c:smooth val="1"/>
          <c:extLst>
            <c:ext xmlns:c16="http://schemas.microsoft.com/office/drawing/2014/chart" uri="{C3380CC4-5D6E-409C-BE32-E72D297353CC}">
              <c16:uniqueId val="{00000000-6D46-40BD-A86E-F568FF0AD9ED}"/>
            </c:ext>
          </c:extLst>
        </c:ser>
        <c:ser>
          <c:idx val="1"/>
          <c:order val="1"/>
          <c:tx>
            <c:strRef>
              <c:f>Flash!$E$236</c:f>
              <c:strCache>
                <c:ptCount val="1"/>
                <c:pt idx="0">
                  <c:v>Standing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Flash!$C$237:$C$241</c:f>
              <c:numCache>
                <c:formatCode>General</c:formatCode>
                <c:ptCount val="5"/>
                <c:pt idx="0">
                  <c:v>1000</c:v>
                </c:pt>
                <c:pt idx="1">
                  <c:v>800</c:v>
                </c:pt>
                <c:pt idx="2">
                  <c:v>600</c:v>
                </c:pt>
                <c:pt idx="3">
                  <c:v>400</c:v>
                </c:pt>
                <c:pt idx="4" formatCode="0">
                  <c:v>200</c:v>
                </c:pt>
              </c:numCache>
            </c:numRef>
          </c:xVal>
          <c:yVal>
            <c:numRef>
              <c:f>Flash!$E$237:$E$241</c:f>
              <c:numCache>
                <c:formatCode>General</c:formatCode>
                <c:ptCount val="5"/>
                <c:pt idx="0">
                  <c:v>0.96789999999999998</c:v>
                </c:pt>
                <c:pt idx="1">
                  <c:v>0.96950000000000003</c:v>
                </c:pt>
                <c:pt idx="2">
                  <c:v>0.97719999999999996</c:v>
                </c:pt>
                <c:pt idx="3">
                  <c:v>0.98929999999999996</c:v>
                </c:pt>
                <c:pt idx="4" formatCode="0.00000">
                  <c:v>1</c:v>
                </c:pt>
              </c:numCache>
            </c:numRef>
          </c:yVal>
          <c:smooth val="1"/>
          <c:extLst>
            <c:ext xmlns:c16="http://schemas.microsoft.com/office/drawing/2014/chart" uri="{C3380CC4-5D6E-409C-BE32-E72D297353CC}">
              <c16:uniqueId val="{00000001-6D46-40BD-A86E-F568FF0AD9ED}"/>
            </c:ext>
          </c:extLst>
        </c:ser>
        <c:ser>
          <c:idx val="2"/>
          <c:order val="2"/>
          <c:tx>
            <c:strRef>
              <c:f>Flash!$F$236</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Flash!$C$237:$C$241</c:f>
              <c:numCache>
                <c:formatCode>General</c:formatCode>
                <c:ptCount val="5"/>
                <c:pt idx="0">
                  <c:v>1000</c:v>
                </c:pt>
                <c:pt idx="1">
                  <c:v>800</c:v>
                </c:pt>
                <c:pt idx="2">
                  <c:v>600</c:v>
                </c:pt>
                <c:pt idx="3">
                  <c:v>400</c:v>
                </c:pt>
                <c:pt idx="4" formatCode="0">
                  <c:v>200</c:v>
                </c:pt>
              </c:numCache>
            </c:numRef>
          </c:xVal>
          <c:yVal>
            <c:numRef>
              <c:f>Flash!$F$237:$F$241</c:f>
              <c:numCache>
                <c:formatCode>General</c:formatCode>
                <c:ptCount val="5"/>
                <c:pt idx="0">
                  <c:v>0.86890000000000001</c:v>
                </c:pt>
                <c:pt idx="1">
                  <c:v>0.90649999999999997</c:v>
                </c:pt>
                <c:pt idx="2">
                  <c:v>0.94079999999999997</c:v>
                </c:pt>
                <c:pt idx="3">
                  <c:v>0.97140000000000004</c:v>
                </c:pt>
                <c:pt idx="4">
                  <c:v>0.99509999999999998</c:v>
                </c:pt>
              </c:numCache>
            </c:numRef>
          </c:yVal>
          <c:smooth val="1"/>
          <c:extLst>
            <c:ext xmlns:c16="http://schemas.microsoft.com/office/drawing/2014/chart" uri="{C3380CC4-5D6E-409C-BE32-E72D297353CC}">
              <c16:uniqueId val="{00000002-6D46-40BD-A86E-F568FF0AD9ED}"/>
            </c:ext>
          </c:extLst>
        </c:ser>
        <c:dLbls>
          <c:showLegendKey val="0"/>
          <c:showVal val="0"/>
          <c:showCatName val="0"/>
          <c:showSerName val="0"/>
          <c:showPercent val="0"/>
          <c:showBubbleSize val="0"/>
        </c:dLbls>
        <c:axId val="717471728"/>
        <c:axId val="717472088"/>
      </c:scatterChart>
      <c:valAx>
        <c:axId val="717471728"/>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2088"/>
        <c:crosses val="autoZero"/>
        <c:crossBetween val="midCat"/>
      </c:valAx>
      <c:valAx>
        <c:axId val="717472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17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80F at various</a:t>
            </a:r>
            <a:r>
              <a:rPr lang="en-US" baseline="0"/>
              <a:t> pressures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Flash!$D$253</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Flash!$D$254:$D$258</c:f>
              <c:numCache>
                <c:formatCode>General</c:formatCode>
                <c:ptCount val="5"/>
                <c:pt idx="0">
                  <c:v>1</c:v>
                </c:pt>
                <c:pt idx="1">
                  <c:v>1</c:v>
                </c:pt>
                <c:pt idx="2">
                  <c:v>1</c:v>
                </c:pt>
                <c:pt idx="3">
                  <c:v>1</c:v>
                </c:pt>
                <c:pt idx="4" formatCode="0.00000">
                  <c:v>1</c:v>
                </c:pt>
              </c:numCache>
            </c:numRef>
          </c:yVal>
          <c:smooth val="1"/>
          <c:extLst>
            <c:ext xmlns:c16="http://schemas.microsoft.com/office/drawing/2014/chart" uri="{C3380CC4-5D6E-409C-BE32-E72D297353CC}">
              <c16:uniqueId val="{00000000-9C25-49DE-AEDB-7D93FD799826}"/>
            </c:ext>
          </c:extLst>
        </c:ser>
        <c:ser>
          <c:idx val="1"/>
          <c:order val="1"/>
          <c:tx>
            <c:strRef>
              <c:f>Flash!$E$253</c:f>
              <c:strCache>
                <c:ptCount val="1"/>
                <c:pt idx="0">
                  <c:v>Standing</c:v>
                </c:pt>
              </c:strCache>
            </c:strRef>
          </c:tx>
          <c:spPr>
            <a:ln w="19050" cap="sq">
              <a:solidFill>
                <a:schemeClr val="accent2">
                  <a:lumMod val="40000"/>
                  <a:lumOff val="60000"/>
                </a:schemeClr>
              </a:solidFill>
              <a:prstDash val="sysDash"/>
              <a:round/>
            </a:ln>
            <a:effectLst/>
          </c:spPr>
          <c:marker>
            <c:symbol val="circle"/>
            <c:size val="5"/>
            <c:spPr>
              <a:solidFill>
                <a:schemeClr val="accent2"/>
              </a:solidFill>
              <a:ln w="9525">
                <a:solidFill>
                  <a:schemeClr val="accent4">
                    <a:lumMod val="40000"/>
                    <a:lumOff val="60000"/>
                  </a:schemeClr>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Flash!$E$254:$E$258</c:f>
              <c:numCache>
                <c:formatCode>General</c:formatCode>
                <c:ptCount val="5"/>
                <c:pt idx="0">
                  <c:v>0.99929999999999997</c:v>
                </c:pt>
                <c:pt idx="1">
                  <c:v>0.99890000000000001</c:v>
                </c:pt>
                <c:pt idx="2">
                  <c:v>1</c:v>
                </c:pt>
                <c:pt idx="3">
                  <c:v>1</c:v>
                </c:pt>
                <c:pt idx="4" formatCode="0.00000">
                  <c:v>1</c:v>
                </c:pt>
              </c:numCache>
            </c:numRef>
          </c:yVal>
          <c:smooth val="1"/>
          <c:extLst>
            <c:ext xmlns:c16="http://schemas.microsoft.com/office/drawing/2014/chart" uri="{C3380CC4-5D6E-409C-BE32-E72D297353CC}">
              <c16:uniqueId val="{00000001-9C25-49DE-AEDB-7D93FD799826}"/>
            </c:ext>
          </c:extLst>
        </c:ser>
        <c:ser>
          <c:idx val="2"/>
          <c:order val="2"/>
          <c:tx>
            <c:strRef>
              <c:f>Flash!$F$253</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Flash!$C$254:$C$258</c:f>
              <c:numCache>
                <c:formatCode>General</c:formatCode>
                <c:ptCount val="5"/>
                <c:pt idx="0">
                  <c:v>1000</c:v>
                </c:pt>
                <c:pt idx="1">
                  <c:v>800</c:v>
                </c:pt>
                <c:pt idx="2">
                  <c:v>600</c:v>
                </c:pt>
                <c:pt idx="3">
                  <c:v>400</c:v>
                </c:pt>
                <c:pt idx="4" formatCode="0">
                  <c:v>200</c:v>
                </c:pt>
              </c:numCache>
            </c:numRef>
          </c:xVal>
          <c:yVal>
            <c:numRef>
              <c:f>Flash!$F$254:$F$258</c:f>
              <c:numCache>
                <c:formatCode>General</c:formatCode>
                <c:ptCount val="5"/>
                <c:pt idx="0">
                  <c:v>0.94140000000000001</c:v>
                </c:pt>
                <c:pt idx="1">
                  <c:v>0.96340000000000003</c:v>
                </c:pt>
                <c:pt idx="2">
                  <c:v>0.98199999999999998</c:v>
                </c:pt>
                <c:pt idx="3">
                  <c:v>0.99570000000000003</c:v>
                </c:pt>
                <c:pt idx="4">
                  <c:v>0.99970000000000003</c:v>
                </c:pt>
              </c:numCache>
            </c:numRef>
          </c:yVal>
          <c:smooth val="1"/>
          <c:extLst>
            <c:ext xmlns:c16="http://schemas.microsoft.com/office/drawing/2014/chart" uri="{C3380CC4-5D6E-409C-BE32-E72D297353CC}">
              <c16:uniqueId val="{00000002-9C25-49DE-AEDB-7D93FD799826}"/>
            </c:ext>
          </c:extLst>
        </c:ser>
        <c:dLbls>
          <c:showLegendKey val="0"/>
          <c:showVal val="0"/>
          <c:showCatName val="0"/>
          <c:showSerName val="0"/>
          <c:showPercent val="0"/>
          <c:showBubbleSize val="0"/>
        </c:dLbls>
        <c:axId val="929981376"/>
        <c:axId val="929980656"/>
      </c:scatterChart>
      <c:valAx>
        <c:axId val="929981376"/>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0656"/>
        <c:crosses val="autoZero"/>
        <c:crossBetween val="midCat"/>
      </c:valAx>
      <c:valAx>
        <c:axId val="929980656"/>
        <c:scaling>
          <c:orientation val="minMax"/>
          <c:max val="1"/>
          <c:min val="0.86000000000000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1376"/>
        <c:crosses val="autoZero"/>
        <c:crossBetween val="midCat"/>
      </c:valAx>
      <c:spPr>
        <a:noFill/>
        <a:ln>
          <a:noFill/>
        </a:ln>
        <a:effectLst/>
      </c:spPr>
    </c:plotArea>
    <c:legend>
      <c:legendPos val="b"/>
      <c:overlay val="0"/>
      <c:spPr>
        <a:noFill/>
        <a:ln>
          <a:solidFill>
            <a:schemeClr val="accent2">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8467</xdr:colOff>
      <xdr:row>24</xdr:row>
      <xdr:rowOff>38100</xdr:rowOff>
    </xdr:from>
    <xdr:to>
      <xdr:col>10</xdr:col>
      <xdr:colOff>82550</xdr:colOff>
      <xdr:row>41</xdr:row>
      <xdr:rowOff>25400</xdr:rowOff>
    </xdr:to>
    <xdr:sp macro="" textlink="">
      <xdr:nvSpPr>
        <xdr:cNvPr id="2" name="TextBox 1">
          <a:extLst>
            <a:ext uri="{FF2B5EF4-FFF2-40B4-BE49-F238E27FC236}">
              <a16:creationId xmlns:a16="http://schemas.microsoft.com/office/drawing/2014/main" id="{CE376E95-DD49-456B-A76F-2A78AF543C00}"/>
            </a:ext>
          </a:extLst>
        </xdr:cNvPr>
        <xdr:cNvSpPr txBox="1"/>
      </xdr:nvSpPr>
      <xdr:spPr>
        <a:xfrm>
          <a:off x="8467" y="4686300"/>
          <a:ext cx="7249583" cy="3276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88900</xdr:colOff>
      <xdr:row>41</xdr:row>
      <xdr:rowOff>171450</xdr:rowOff>
    </xdr:from>
    <xdr:to>
      <xdr:col>5</xdr:col>
      <xdr:colOff>438150</xdr:colOff>
      <xdr:row>58</xdr:row>
      <xdr:rowOff>146050</xdr:rowOff>
    </xdr:to>
    <xdr:sp macro="" textlink="">
      <xdr:nvSpPr>
        <xdr:cNvPr id="3" name="TextBox 2">
          <a:extLst>
            <a:ext uri="{FF2B5EF4-FFF2-40B4-BE49-F238E27FC236}">
              <a16:creationId xmlns:a16="http://schemas.microsoft.com/office/drawing/2014/main" id="{7FF2A15E-4478-4BDA-9339-E03C7D5CB575}"/>
            </a:ext>
          </a:extLst>
        </xdr:cNvPr>
        <xdr:cNvSpPr txBox="1"/>
      </xdr:nvSpPr>
      <xdr:spPr>
        <a:xfrm>
          <a:off x="403225" y="7334250"/>
          <a:ext cx="3387725" cy="3213100"/>
        </a:xfrm>
        <a:prstGeom prst="rect">
          <a:avLst/>
        </a:prstGeom>
        <a:no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5</xdr:col>
      <xdr:colOff>531942</xdr:colOff>
      <xdr:row>41</xdr:row>
      <xdr:rowOff>152401</xdr:rowOff>
    </xdr:from>
    <xdr:to>
      <xdr:col>10</xdr:col>
      <xdr:colOff>503820</xdr:colOff>
      <xdr:row>58</xdr:row>
      <xdr:rowOff>177799</xdr:rowOff>
    </xdr:to>
    <xdr:pic>
      <xdr:nvPicPr>
        <xdr:cNvPr id="4" name="Picture 3">
          <a:extLst>
            <a:ext uri="{FF2B5EF4-FFF2-40B4-BE49-F238E27FC236}">
              <a16:creationId xmlns:a16="http://schemas.microsoft.com/office/drawing/2014/main" id="{2BD16469-BA6F-4EF5-9520-7918037E356E}"/>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3000"/>
                  </a14:imgEffect>
                  <a14:imgEffect>
                    <a14:saturation sat="40000"/>
                  </a14:imgEffect>
                </a14:imgLayer>
              </a14:imgProps>
            </a:ext>
            <a:ext uri="{28A0092B-C50C-407E-A947-70E740481C1C}">
              <a14:useLocalDpi xmlns:a14="http://schemas.microsoft.com/office/drawing/2010/main" val="0"/>
            </a:ext>
          </a:extLst>
        </a:blip>
        <a:srcRect l="52282"/>
        <a:stretch/>
      </xdr:blipFill>
      <xdr:spPr>
        <a:xfrm>
          <a:off x="3884742" y="7315201"/>
          <a:ext cx="3353253" cy="3263898"/>
        </a:xfrm>
        <a:prstGeom prst="rect">
          <a:avLst/>
        </a:prstGeom>
      </xdr:spPr>
    </xdr:pic>
    <xdr:clientData/>
  </xdr:twoCellAnchor>
  <xdr:twoCellAnchor>
    <xdr:from>
      <xdr:col>1</xdr:col>
      <xdr:colOff>320675</xdr:colOff>
      <xdr:row>42</xdr:row>
      <xdr:rowOff>36512</xdr:rowOff>
    </xdr:from>
    <xdr:to>
      <xdr:col>5</xdr:col>
      <xdr:colOff>422275</xdr:colOff>
      <xdr:row>58</xdr:row>
      <xdr:rowOff>0</xdr:rowOff>
    </xdr:to>
    <xdr:graphicFrame macro="">
      <xdr:nvGraphicFramePr>
        <xdr:cNvPr id="5" name="Chart 4">
          <a:extLst>
            <a:ext uri="{FF2B5EF4-FFF2-40B4-BE49-F238E27FC236}">
              <a16:creationId xmlns:a16="http://schemas.microsoft.com/office/drawing/2014/main" id="{29EA2AD2-78C4-4104-A433-2F8B2E4B3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86124</xdr:colOff>
      <xdr:row>47</xdr:row>
      <xdr:rowOff>164701</xdr:rowOff>
    </xdr:from>
    <xdr:ext cx="280205" cy="769954"/>
    <xdr:sp macro="" textlink="">
      <xdr:nvSpPr>
        <xdr:cNvPr id="6" name="TextBox 5">
          <a:extLst>
            <a:ext uri="{FF2B5EF4-FFF2-40B4-BE49-F238E27FC236}">
              <a16:creationId xmlns:a16="http://schemas.microsoft.com/office/drawing/2014/main" id="{741258BE-B678-481E-8681-4AEA2D41A082}"/>
            </a:ext>
          </a:extLst>
        </xdr:cNvPr>
        <xdr:cNvSpPr txBox="1"/>
      </xdr:nvSpPr>
      <xdr:spPr>
        <a:xfrm rot="16200000">
          <a:off x="155575" y="8715375"/>
          <a:ext cx="7699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C6+</a:t>
          </a:r>
          <a:r>
            <a:rPr lang="en-US" sz="1200" b="1" baseline="0"/>
            <a:t> GPM</a:t>
          </a:r>
          <a:endParaRPr lang="en-US" sz="1200" b="1"/>
        </a:p>
      </xdr:txBody>
    </xdr:sp>
    <xdr:clientData/>
  </xdr:oneCellAnchor>
  <xdr:oneCellAnchor>
    <xdr:from>
      <xdr:col>2</xdr:col>
      <xdr:colOff>434975</xdr:colOff>
      <xdr:row>42</xdr:row>
      <xdr:rowOff>34925</xdr:rowOff>
    </xdr:from>
    <xdr:ext cx="1374992" cy="280205"/>
    <xdr:sp macro="" textlink="">
      <xdr:nvSpPr>
        <xdr:cNvPr id="7" name="TextBox 6">
          <a:extLst>
            <a:ext uri="{FF2B5EF4-FFF2-40B4-BE49-F238E27FC236}">
              <a16:creationId xmlns:a16="http://schemas.microsoft.com/office/drawing/2014/main" id="{4E943E4F-1A2B-49E5-9B45-690ED0C3934B}"/>
            </a:ext>
          </a:extLst>
        </xdr:cNvPr>
        <xdr:cNvSpPr txBox="1"/>
      </xdr:nvSpPr>
      <xdr:spPr>
        <a:xfrm>
          <a:off x="1416050" y="7388225"/>
          <a:ext cx="137499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Regression</a:t>
          </a:r>
          <a:r>
            <a:rPr lang="en-US" sz="1200" b="1" baseline="0"/>
            <a:t> Results</a:t>
          </a:r>
          <a:endParaRPr lang="en-US" sz="12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127000</xdr:colOff>
      <xdr:row>28</xdr:row>
      <xdr:rowOff>12700</xdr:rowOff>
    </xdr:from>
    <xdr:to>
      <xdr:col>4</xdr:col>
      <xdr:colOff>801396</xdr:colOff>
      <xdr:row>31</xdr:row>
      <xdr:rowOff>15875</xdr:rowOff>
    </xdr:to>
    <xdr:pic>
      <xdr:nvPicPr>
        <xdr:cNvPr id="2" name="Picture 1">
          <a:extLst>
            <a:ext uri="{FF2B5EF4-FFF2-40B4-BE49-F238E27FC236}">
              <a16:creationId xmlns:a16="http://schemas.microsoft.com/office/drawing/2014/main" id="{B4E33A5B-6A38-4502-88EB-8C056E298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350" y="6080125"/>
          <a:ext cx="1546225" cy="57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678414</xdr:colOff>
      <xdr:row>232</xdr:row>
      <xdr:rowOff>27992</xdr:rowOff>
    </xdr:from>
    <xdr:to>
      <xdr:col>13</xdr:col>
      <xdr:colOff>79700</xdr:colOff>
      <xdr:row>249</xdr:row>
      <xdr:rowOff>49763</xdr:rowOff>
    </xdr:to>
    <xdr:graphicFrame macro="">
      <xdr:nvGraphicFramePr>
        <xdr:cNvPr id="7" name="Chart 6">
          <a:extLst>
            <a:ext uri="{FF2B5EF4-FFF2-40B4-BE49-F238E27FC236}">
              <a16:creationId xmlns:a16="http://schemas.microsoft.com/office/drawing/2014/main" id="{C6EB907E-57D9-EDDF-0D7E-3CCF117774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790185</xdr:colOff>
      <xdr:row>249</xdr:row>
      <xdr:rowOff>66869</xdr:rowOff>
    </xdr:from>
    <xdr:to>
      <xdr:col>13</xdr:col>
      <xdr:colOff>191471</xdr:colOff>
      <xdr:row>263</xdr:row>
      <xdr:rowOff>88641</xdr:rowOff>
    </xdr:to>
    <xdr:graphicFrame macro="">
      <xdr:nvGraphicFramePr>
        <xdr:cNvPr id="9" name="Chart 8">
          <a:extLst>
            <a:ext uri="{FF2B5EF4-FFF2-40B4-BE49-F238E27FC236}">
              <a16:creationId xmlns:a16="http://schemas.microsoft.com/office/drawing/2014/main" id="{789CA60F-1CD5-D974-3E26-3FDF8AEDA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final.xlsm" TargetMode="External"/><Relationship Id="rId1" Type="http://schemas.openxmlformats.org/officeDocument/2006/relationships/externalLinkPath" Target="https://d.docs.live.net/7B1C9CAE9AD6CBAB/Field%20Compression%20Model%20041125%2050%20to%20750%20psig%20Delaware%20fina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081525.xlsm" TargetMode="External"/><Relationship Id="rId1" Type="http://schemas.openxmlformats.org/officeDocument/2006/relationships/externalLinkPath" Target="https://d.docs.live.net/7b1c9cae9ad6cbab/Field%20Compression%20Model%20041125%2050%20to%20750%20psig%20Delaware%200815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ayne_z8780x5/Documents/Hydrocarbon%20Dew%20Point/Estimating%20H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row r="25">
          <cell r="F25">
            <v>0.99991982721071726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D 1"/>
      <sheetName val="HDP 2"/>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sheetData sheetId="5"/>
      <sheetData sheetId="6">
        <row r="25">
          <cell r="F25">
            <v>0.99991982721071726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Estimating HDP"/>
    </sheetNames>
    <sheetDataSet>
      <sheetData sheetId="0">
        <row r="18">
          <cell r="B18" t="str">
            <v>C6 - C9</v>
          </cell>
        </row>
        <row r="19">
          <cell r="A19">
            <v>-50</v>
          </cell>
          <cell r="B19">
            <v>1E-4</v>
          </cell>
        </row>
        <row r="20">
          <cell r="A20">
            <v>-40</v>
          </cell>
          <cell r="B20">
            <v>3.0000000000000001E-3</v>
          </cell>
        </row>
        <row r="21">
          <cell r="A21">
            <v>-40</v>
          </cell>
          <cell r="B21">
            <v>3.0000000000000001E-3</v>
          </cell>
        </row>
        <row r="22">
          <cell r="A22">
            <v>-30</v>
          </cell>
          <cell r="B22">
            <v>5.0000000000000001E-3</v>
          </cell>
        </row>
        <row r="23">
          <cell r="A23">
            <v>-20</v>
          </cell>
          <cell r="B23">
            <v>0.01</v>
          </cell>
        </row>
        <row r="24">
          <cell r="A24">
            <v>-10</v>
          </cell>
          <cell r="B24">
            <v>1.6E-2</v>
          </cell>
        </row>
        <row r="25">
          <cell r="A25">
            <v>0</v>
          </cell>
          <cell r="B25">
            <v>0.02</v>
          </cell>
        </row>
        <row r="26">
          <cell r="A26">
            <v>10</v>
          </cell>
          <cell r="B26">
            <v>0.03</v>
          </cell>
        </row>
        <row r="27">
          <cell r="A27">
            <v>20</v>
          </cell>
          <cell r="B27">
            <v>3.6999999999999998E-2</v>
          </cell>
        </row>
        <row r="28">
          <cell r="A28">
            <v>30</v>
          </cell>
          <cell r="B28">
            <v>0.05</v>
          </cell>
        </row>
        <row r="29">
          <cell r="A29">
            <v>40</v>
          </cell>
          <cell r="B29">
            <v>6.5000000000000002E-2</v>
          </cell>
        </row>
        <row r="30">
          <cell r="A30">
            <v>50</v>
          </cell>
          <cell r="B30">
            <v>0.09</v>
          </cell>
        </row>
        <row r="31">
          <cell r="A31">
            <v>60</v>
          </cell>
          <cell r="B31">
            <v>0.125</v>
          </cell>
        </row>
        <row r="32">
          <cell r="A32">
            <v>70</v>
          </cell>
          <cell r="B32">
            <v>0.16</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waynelandon13@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re.com/PDF/Practical-Hydrocarbon-Dew-Point-Specification-for-Natural-Gas-Transmission-Line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ciencedirect.com/topics/engineering/standing-correlation" TargetMode="External"/><Relationship Id="rId1" Type="http://schemas.openxmlformats.org/officeDocument/2006/relationships/hyperlink" Target="http://excelcalculations.blogspot.com/2011/07/equilibrium-flash-excel.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28EA-F020-4970-B3F3-78B44AD0EFFF}">
  <dimension ref="B2:D53"/>
  <sheetViews>
    <sheetView tabSelected="1" workbookViewId="0"/>
  </sheetViews>
  <sheetFormatPr defaultColWidth="9.140625" defaultRowHeight="15" x14ac:dyDescent="0.25"/>
  <cols>
    <col min="1" max="1" width="2.85546875" style="2" customWidth="1"/>
    <col min="2" max="2" width="14.42578125" style="2" customWidth="1"/>
    <col min="3" max="3" width="13.7109375" style="2" customWidth="1"/>
    <col min="4" max="16384" width="9.140625" style="2"/>
  </cols>
  <sheetData>
    <row r="2" spans="2:4" ht="21" x14ac:dyDescent="0.35">
      <c r="B2" s="1" t="s">
        <v>122</v>
      </c>
    </row>
    <row r="3" spans="2:4" x14ac:dyDescent="0.25">
      <c r="B3" s="154" t="s">
        <v>290</v>
      </c>
    </row>
    <row r="5" spans="2:4" x14ac:dyDescent="0.25">
      <c r="B5" s="2" t="s">
        <v>291</v>
      </c>
    </row>
    <row r="6" spans="2:4" x14ac:dyDescent="0.25">
      <c r="B6" s="2" t="s">
        <v>302</v>
      </c>
    </row>
    <row r="8" spans="2:4" x14ac:dyDescent="0.25">
      <c r="B8" s="2" t="s">
        <v>292</v>
      </c>
    </row>
    <row r="9" spans="2:4" x14ac:dyDescent="0.25">
      <c r="B9" s="2" t="s">
        <v>293</v>
      </c>
    </row>
    <row r="10" spans="2:4" x14ac:dyDescent="0.25">
      <c r="B10" s="2" t="s">
        <v>303</v>
      </c>
    </row>
    <row r="12" spans="2:4" x14ac:dyDescent="0.25">
      <c r="B12" s="2" t="s">
        <v>301</v>
      </c>
      <c r="C12" s="2" t="s">
        <v>294</v>
      </c>
    </row>
    <row r="14" spans="2:4" x14ac:dyDescent="0.25">
      <c r="C14" s="148" t="s">
        <v>73</v>
      </c>
      <c r="D14" s="148" t="s">
        <v>10</v>
      </c>
    </row>
    <row r="15" spans="2:4" x14ac:dyDescent="0.25">
      <c r="C15" s="148" t="s">
        <v>47</v>
      </c>
      <c r="D15" s="148" t="s">
        <v>65</v>
      </c>
    </row>
    <row r="16" spans="2:4" x14ac:dyDescent="0.25">
      <c r="B16" s="2" t="s">
        <v>48</v>
      </c>
      <c r="C16" s="155">
        <v>1.1994883333333333E-2</v>
      </c>
      <c r="D16" s="156"/>
    </row>
    <row r="17" spans="2:4" x14ac:dyDescent="0.25">
      <c r="B17" s="2" t="s">
        <v>49</v>
      </c>
      <c r="C17" s="155">
        <v>5.5579379999999991E-2</v>
      </c>
      <c r="D17" s="156"/>
    </row>
    <row r="18" spans="2:4" x14ac:dyDescent="0.25">
      <c r="B18" s="2" t="s">
        <v>50</v>
      </c>
      <c r="C18" s="155">
        <v>0</v>
      </c>
      <c r="D18" s="156"/>
    </row>
    <row r="19" spans="2:4" x14ac:dyDescent="0.25">
      <c r="B19" s="2" t="s">
        <v>51</v>
      </c>
      <c r="C19" s="155">
        <v>0.7483542133333333</v>
      </c>
      <c r="D19" s="156"/>
    </row>
    <row r="20" spans="2:4" x14ac:dyDescent="0.25">
      <c r="B20" s="2" t="s">
        <v>52</v>
      </c>
      <c r="C20" s="155">
        <v>0.10365652333333332</v>
      </c>
      <c r="D20" s="157">
        <v>2.8229137544124967</v>
      </c>
    </row>
    <row r="21" spans="2:4" x14ac:dyDescent="0.25">
      <c r="B21" s="2" t="s">
        <v>53</v>
      </c>
      <c r="C21" s="155">
        <v>4.9144E-2</v>
      </c>
      <c r="D21" s="157">
        <v>1.3496523605588542</v>
      </c>
    </row>
    <row r="22" spans="2:4" x14ac:dyDescent="0.25">
      <c r="B22" s="2" t="s">
        <v>54</v>
      </c>
      <c r="C22" s="155">
        <v>6.4696433333333329E-3</v>
      </c>
      <c r="D22" s="157">
        <v>0.21110856638683789</v>
      </c>
    </row>
    <row r="23" spans="2:4" x14ac:dyDescent="0.25">
      <c r="B23" s="2" t="s">
        <v>55</v>
      </c>
      <c r="C23" s="155">
        <v>1.4280399999999999E-2</v>
      </c>
      <c r="D23" s="157">
        <v>0.44899178857429634</v>
      </c>
    </row>
    <row r="24" spans="2:4" x14ac:dyDescent="0.25">
      <c r="B24" s="2" t="s">
        <v>56</v>
      </c>
      <c r="C24" s="155">
        <v>3.3084933333333336E-3</v>
      </c>
      <c r="D24" s="157">
        <v>0.12083371903709253</v>
      </c>
    </row>
    <row r="25" spans="2:4" x14ac:dyDescent="0.25">
      <c r="B25" s="2" t="s">
        <v>57</v>
      </c>
      <c r="C25" s="155">
        <v>3.4617033333333332E-3</v>
      </c>
      <c r="D25" s="157">
        <v>0.12508707553319992</v>
      </c>
    </row>
    <row r="26" spans="2:4" x14ac:dyDescent="0.25">
      <c r="B26" s="2" t="s">
        <v>14</v>
      </c>
      <c r="C26" s="155">
        <v>3.0104900000000306E-3</v>
      </c>
      <c r="D26" s="157">
        <v>0.12349345430826886</v>
      </c>
    </row>
    <row r="27" spans="2:4" x14ac:dyDescent="0.25">
      <c r="B27" s="2" t="s">
        <v>58</v>
      </c>
      <c r="C27" s="155">
        <v>4.9864333333333327E-4</v>
      </c>
      <c r="D27" s="157">
        <v>2.0454872031171752E-2</v>
      </c>
    </row>
    <row r="28" spans="2:4" x14ac:dyDescent="0.25">
      <c r="B28" s="2" t="s">
        <v>59</v>
      </c>
      <c r="C28" s="155">
        <v>2.0944666666666668E-4</v>
      </c>
      <c r="D28" s="157">
        <v>6.9957358304644597E-3</v>
      </c>
    </row>
    <row r="29" spans="2:4" x14ac:dyDescent="0.25">
      <c r="B29" s="2" t="s">
        <v>60</v>
      </c>
      <c r="C29" s="155">
        <v>7.3000000000000004E-6</v>
      </c>
      <c r="D29" s="157">
        <v>2.8101129602234066E-4</v>
      </c>
    </row>
    <row r="30" spans="2:4" x14ac:dyDescent="0.25">
      <c r="B30" s="2" t="s">
        <v>61</v>
      </c>
      <c r="C30" s="155">
        <v>2.4879999999999996E-5</v>
      </c>
      <c r="D30" s="157">
        <v>9.436124816196628E-4</v>
      </c>
    </row>
    <row r="31" spans="2:4" x14ac:dyDescent="0.25">
      <c r="B31" s="2" t="s">
        <v>62</v>
      </c>
      <c r="C31" s="155">
        <v>2.4879999999999996E-5</v>
      </c>
      <c r="D31" s="157"/>
    </row>
    <row r="32" spans="2:4" x14ac:dyDescent="0.25">
      <c r="B32" s="2" t="s">
        <v>115</v>
      </c>
      <c r="C32" s="155">
        <v>1.0000248799999998</v>
      </c>
      <c r="D32" s="157">
        <v>5.2307559504503249</v>
      </c>
    </row>
    <row r="34" spans="2:3" x14ac:dyDescent="0.25">
      <c r="B34" s="2" t="s">
        <v>295</v>
      </c>
    </row>
    <row r="35" spans="2:3" x14ac:dyDescent="0.25">
      <c r="B35" s="2" t="s">
        <v>296</v>
      </c>
    </row>
    <row r="37" spans="2:3" x14ac:dyDescent="0.25">
      <c r="B37" s="2" t="s">
        <v>297</v>
      </c>
    </row>
    <row r="39" spans="2:3" x14ac:dyDescent="0.25">
      <c r="C39" s="148" t="s">
        <v>10</v>
      </c>
    </row>
    <row r="40" spans="2:3" x14ac:dyDescent="0.25">
      <c r="B40" s="2" t="s">
        <v>14</v>
      </c>
      <c r="C40" s="151">
        <v>0.10562363973858799</v>
      </c>
    </row>
    <row r="41" spans="2:3" x14ac:dyDescent="0.25">
      <c r="B41" s="2" t="s">
        <v>15</v>
      </c>
      <c r="C41" s="151">
        <v>5.915283754271785E-2</v>
      </c>
    </row>
    <row r="42" spans="2:3" x14ac:dyDescent="0.25">
      <c r="B42" s="2" t="s">
        <v>16</v>
      </c>
      <c r="C42" s="151">
        <v>6.2090246841983521E-3</v>
      </c>
    </row>
    <row r="43" spans="2:3" x14ac:dyDescent="0.25">
      <c r="B43" s="2" t="s">
        <v>17</v>
      </c>
      <c r="C43" s="151">
        <v>5.3137713422087712E-4</v>
      </c>
    </row>
    <row r="44" spans="2:3" x14ac:dyDescent="0.25">
      <c r="B44" s="2" t="s">
        <v>18</v>
      </c>
      <c r="C44" s="151">
        <v>0.17151687909972507</v>
      </c>
    </row>
    <row r="45" spans="2:3" x14ac:dyDescent="0.25">
      <c r="B45" s="2" t="s">
        <v>19</v>
      </c>
      <c r="C45" s="78">
        <v>80.623811286430509</v>
      </c>
    </row>
    <row r="47" spans="2:3" x14ac:dyDescent="0.25">
      <c r="B47" s="2" t="s">
        <v>298</v>
      </c>
    </row>
    <row r="48" spans="2:3" x14ac:dyDescent="0.25">
      <c r="B48" s="2" t="s">
        <v>300</v>
      </c>
    </row>
    <row r="49" spans="2:4" x14ac:dyDescent="0.25">
      <c r="B49" s="2" t="s">
        <v>299</v>
      </c>
    </row>
    <row r="51" spans="2:4" x14ac:dyDescent="0.25">
      <c r="B51" s="2" t="s">
        <v>146</v>
      </c>
      <c r="D51" s="158">
        <v>0.99573216334880243</v>
      </c>
    </row>
    <row r="53" spans="2:4" x14ac:dyDescent="0.25">
      <c r="B53" s="2" t="s">
        <v>39</v>
      </c>
    </row>
  </sheetData>
  <hyperlinks>
    <hyperlink ref="B3" r:id="rId1" xr:uid="{D9909FDD-FCAF-4A79-AA9C-8FA613FF28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A5D3-2579-4F34-A77A-DFABF3508D09}">
  <sheetPr>
    <tabColor rgb="FFFFC000"/>
  </sheetPr>
  <dimension ref="B1:U105"/>
  <sheetViews>
    <sheetView zoomScale="106" zoomScaleNormal="106" workbookViewId="0"/>
  </sheetViews>
  <sheetFormatPr defaultColWidth="9.140625" defaultRowHeight="15" x14ac:dyDescent="0.25"/>
  <cols>
    <col min="1" max="1" width="4.7109375" style="2" customWidth="1"/>
    <col min="2" max="2" width="10" style="2" customWidth="1"/>
    <col min="3" max="3" width="12.85546875" style="2" bestFit="1" customWidth="1"/>
    <col min="4" max="4" width="11.7109375" style="2" bestFit="1" customWidth="1"/>
    <col min="5" max="5" width="11" style="2" customWidth="1"/>
    <col min="6" max="6" width="9.42578125" style="2" bestFit="1" customWidth="1"/>
    <col min="7" max="7" width="12" style="2" bestFit="1" customWidth="1"/>
    <col min="8" max="8" width="10.7109375" style="2" customWidth="1"/>
    <col min="9" max="9" width="9.42578125" style="2" bestFit="1" customWidth="1"/>
    <col min="10" max="13" width="9.140625" style="2"/>
    <col min="14" max="15" width="9.42578125" style="2" bestFit="1" customWidth="1"/>
    <col min="16" max="16" width="12.28515625" style="2" bestFit="1" customWidth="1"/>
    <col min="17" max="17" width="10.7109375" style="2" bestFit="1" customWidth="1"/>
    <col min="18" max="18" width="9.28515625" style="2" bestFit="1" customWidth="1"/>
    <col min="19" max="16384" width="9.140625" style="2"/>
  </cols>
  <sheetData>
    <row r="1" spans="2:13" ht="21" x14ac:dyDescent="0.35">
      <c r="B1" s="1" t="s">
        <v>122</v>
      </c>
    </row>
    <row r="2" spans="2:13" x14ac:dyDescent="0.25">
      <c r="B2" s="2" t="s">
        <v>0</v>
      </c>
    </row>
    <row r="3" spans="2:13" x14ac:dyDescent="0.25">
      <c r="B3" s="3" t="s">
        <v>1</v>
      </c>
    </row>
    <row r="4" spans="2:13" x14ac:dyDescent="0.25">
      <c r="B4" s="98"/>
      <c r="C4" s="99"/>
      <c r="D4" s="99"/>
      <c r="E4" s="99"/>
      <c r="F4" s="99"/>
      <c r="G4" s="99"/>
      <c r="H4" s="99"/>
      <c r="I4" s="99"/>
      <c r="J4" s="99"/>
      <c r="K4" s="99"/>
      <c r="L4" s="99"/>
    </row>
    <row r="5" spans="2:13" x14ac:dyDescent="0.25">
      <c r="B5" s="98" t="s">
        <v>120</v>
      </c>
      <c r="C5" s="99"/>
      <c r="D5" s="99"/>
      <c r="E5" s="99"/>
      <c r="F5" s="99"/>
      <c r="G5" s="99"/>
      <c r="H5" s="99"/>
      <c r="I5" s="99"/>
      <c r="J5" s="99"/>
      <c r="K5" s="99"/>
      <c r="L5" s="99"/>
    </row>
    <row r="6" spans="2:13" x14ac:dyDescent="0.25">
      <c r="B6" s="98" t="s">
        <v>119</v>
      </c>
      <c r="C6" s="99"/>
      <c r="D6" s="99"/>
      <c r="E6" s="99"/>
      <c r="F6" s="99"/>
      <c r="G6" s="99"/>
      <c r="H6" s="99"/>
      <c r="I6" s="99"/>
      <c r="J6" s="99"/>
      <c r="K6" s="99"/>
      <c r="L6" s="99"/>
    </row>
    <row r="7" spans="2:13" x14ac:dyDescent="0.25">
      <c r="B7" s="98" t="s">
        <v>121</v>
      </c>
      <c r="C7" s="99"/>
      <c r="D7" s="99"/>
      <c r="E7" s="99"/>
      <c r="F7" s="99"/>
      <c r="G7" s="99"/>
      <c r="H7" s="99"/>
      <c r="I7" s="99"/>
      <c r="J7" s="99"/>
      <c r="K7" s="99"/>
      <c r="L7" s="99"/>
    </row>
    <row r="8" spans="2:13" x14ac:dyDescent="0.25">
      <c r="B8" s="98"/>
      <c r="C8" s="99"/>
      <c r="D8" s="99"/>
      <c r="E8" s="99"/>
      <c r="F8" s="99"/>
      <c r="G8" s="99"/>
      <c r="H8" s="99"/>
      <c r="I8" s="99"/>
      <c r="J8" s="99"/>
      <c r="K8" s="99"/>
      <c r="L8" s="99"/>
    </row>
    <row r="9" spans="2:13" x14ac:dyDescent="0.25">
      <c r="C9" s="2" t="s">
        <v>2</v>
      </c>
      <c r="D9" s="4" t="s">
        <v>3</v>
      </c>
      <c r="E9" s="4" t="s">
        <v>4</v>
      </c>
    </row>
    <row r="10" spans="2:13" x14ac:dyDescent="0.25">
      <c r="D10" s="10">
        <f>Properties!D16+Properties!D17</f>
        <v>0.24592079457029245</v>
      </c>
      <c r="E10" s="10">
        <f>SUM(Properties!D18:D22)</f>
        <v>0.15216868594754707</v>
      </c>
      <c r="G10" s="2" t="s">
        <v>118</v>
      </c>
    </row>
    <row r="11" spans="2:13" x14ac:dyDescent="0.25">
      <c r="D11" s="2" t="s">
        <v>39</v>
      </c>
    </row>
    <row r="12" spans="2:13" x14ac:dyDescent="0.25">
      <c r="C12" s="2" t="s">
        <v>5</v>
      </c>
      <c r="D12" s="2" t="s">
        <v>6</v>
      </c>
      <c r="M12" s="2" t="s">
        <v>7</v>
      </c>
    </row>
    <row r="13" spans="2:13" x14ac:dyDescent="0.25">
      <c r="D13" s="2" t="s">
        <v>8</v>
      </c>
      <c r="M13" s="2" t="s">
        <v>9</v>
      </c>
    </row>
    <row r="15" spans="2:13" x14ac:dyDescent="0.25">
      <c r="C15" s="4" t="s">
        <v>10</v>
      </c>
      <c r="D15" s="4" t="s">
        <v>11</v>
      </c>
      <c r="E15" s="4" t="s">
        <v>12</v>
      </c>
      <c r="F15" s="4" t="s">
        <v>13</v>
      </c>
    </row>
    <row r="16" spans="2:13" x14ac:dyDescent="0.25">
      <c r="B16" s="2" t="s">
        <v>14</v>
      </c>
      <c r="C16" s="97">
        <f>D16*($D$10)^E16*($E$10)^F16</f>
        <v>0.10562363973858799</v>
      </c>
      <c r="D16" s="4">
        <v>0.64559999999999995</v>
      </c>
      <c r="E16" s="4">
        <v>0.22</v>
      </c>
      <c r="F16" s="4">
        <v>0.79759999999999998</v>
      </c>
    </row>
    <row r="17" spans="2:13" x14ac:dyDescent="0.25">
      <c r="B17" s="2" t="s">
        <v>15</v>
      </c>
      <c r="C17" s="97">
        <f>D17*($D$10)^E17*($E$10)^F17</f>
        <v>5.915283754271785E-2</v>
      </c>
      <c r="D17" s="4">
        <v>0.50439999999999996</v>
      </c>
      <c r="E17" s="4">
        <v>-0.26729999999999998</v>
      </c>
      <c r="F17" s="4">
        <v>1.3374999999999999</v>
      </c>
    </row>
    <row r="18" spans="2:13" x14ac:dyDescent="0.25">
      <c r="B18" s="2" t="s">
        <v>16</v>
      </c>
      <c r="C18" s="97">
        <f>D18*($D$10)^E18*($E$10)^F18</f>
        <v>6.2090246841983521E-3</v>
      </c>
      <c r="D18" s="4">
        <v>7.0139999999999994E-2</v>
      </c>
      <c r="E18" s="4">
        <v>-1.0097</v>
      </c>
      <c r="F18" s="4">
        <v>2.04</v>
      </c>
    </row>
    <row r="19" spans="2:13" x14ac:dyDescent="0.25">
      <c r="B19" s="2" t="s">
        <v>17</v>
      </c>
      <c r="C19" s="97">
        <f>D19*($D$10)^E19*($E$10)^F19</f>
        <v>5.3137713422087712E-4</v>
      </c>
      <c r="D19" s="4">
        <v>6.149E-3</v>
      </c>
      <c r="E19" s="4">
        <v>-1.5176000000000001</v>
      </c>
      <c r="F19" s="4">
        <v>2.4312</v>
      </c>
    </row>
    <row r="20" spans="2:13" x14ac:dyDescent="0.25">
      <c r="B20" s="2" t="s">
        <v>18</v>
      </c>
      <c r="C20" s="97">
        <f>SUM(C16:C19)</f>
        <v>0.17151687909972507</v>
      </c>
    </row>
    <row r="21" spans="2:13" x14ac:dyDescent="0.25">
      <c r="B21" s="2" t="s">
        <v>19</v>
      </c>
      <c r="C21" s="11">
        <f>IF(C20&lt;0.2,(I36+C20*I37+C20^2*I38+C20^3*I39),125)</f>
        <v>80.623811286430509</v>
      </c>
      <c r="D21" s="2" t="s">
        <v>20</v>
      </c>
    </row>
    <row r="22" spans="2:13" x14ac:dyDescent="0.25">
      <c r="C22" s="4"/>
    </row>
    <row r="23" spans="2:13" s="13" customFormat="1" x14ac:dyDescent="0.25">
      <c r="C23" s="14"/>
    </row>
    <row r="24" spans="2:13" x14ac:dyDescent="0.25">
      <c r="B24" s="12" t="s">
        <v>21</v>
      </c>
      <c r="C24" s="4"/>
    </row>
    <row r="25" spans="2:13" x14ac:dyDescent="0.25">
      <c r="M25" s="4"/>
    </row>
    <row r="26" spans="2:13" x14ac:dyDescent="0.25">
      <c r="B26" s="4" t="s">
        <v>22</v>
      </c>
      <c r="C26" s="4" t="s">
        <v>23</v>
      </c>
      <c r="D26" s="4" t="s">
        <v>24</v>
      </c>
      <c r="E26" s="4" t="s">
        <v>25</v>
      </c>
      <c r="F26" s="2" t="s">
        <v>26</v>
      </c>
      <c r="H26" s="2" t="s">
        <v>27</v>
      </c>
    </row>
    <row r="27" spans="2:13" ht="15.75" thickBot="1" x14ac:dyDescent="0.3">
      <c r="B27" s="4" t="s">
        <v>19</v>
      </c>
      <c r="C27" s="4" t="s">
        <v>18</v>
      </c>
    </row>
    <row r="28" spans="2:13" x14ac:dyDescent="0.25">
      <c r="B28" s="4">
        <v>-50</v>
      </c>
      <c r="C28" s="4">
        <v>1E-4</v>
      </c>
      <c r="D28" s="2">
        <f>C28^2</f>
        <v>1E-8</v>
      </c>
      <c r="E28" s="2">
        <f>C28^3</f>
        <v>9.9999999999999998E-13</v>
      </c>
      <c r="F28" s="5">
        <f t="shared" ref="F28:F41" si="0">$I$36+C28*$I$37+D28*$I$38+E28*$I$39</f>
        <v>-45.262659667317067</v>
      </c>
      <c r="H28" s="6" t="s">
        <v>28</v>
      </c>
      <c r="I28" s="6"/>
    </row>
    <row r="29" spans="2:13" x14ac:dyDescent="0.25">
      <c r="B29" s="4">
        <v>-40</v>
      </c>
      <c r="C29" s="4">
        <v>3.0000000000000001E-3</v>
      </c>
      <c r="D29" s="2">
        <f t="shared" ref="D29:D41" si="1">C29^2</f>
        <v>9.0000000000000002E-6</v>
      </c>
      <c r="E29" s="2">
        <f t="shared" ref="E29:E41" si="2">C29^3</f>
        <v>2.7E-8</v>
      </c>
      <c r="F29" s="5">
        <f t="shared" si="0"/>
        <v>-38.302898649656477</v>
      </c>
      <c r="H29" s="2" t="s">
        <v>29</v>
      </c>
      <c r="I29" s="2">
        <v>0.99770041097431517</v>
      </c>
    </row>
    <row r="30" spans="2:13" x14ac:dyDescent="0.25">
      <c r="B30" s="4">
        <v>-40</v>
      </c>
      <c r="C30" s="4">
        <v>3.0000000000000001E-3</v>
      </c>
      <c r="D30" s="2">
        <f t="shared" si="1"/>
        <v>9.0000000000000002E-6</v>
      </c>
      <c r="E30" s="2">
        <f t="shared" si="2"/>
        <v>2.7E-8</v>
      </c>
      <c r="F30" s="5">
        <f t="shared" si="0"/>
        <v>-38.302898649656477</v>
      </c>
      <c r="H30" s="2" t="s">
        <v>30</v>
      </c>
      <c r="I30" s="2">
        <v>0.99540611005831747</v>
      </c>
    </row>
    <row r="31" spans="2:13" x14ac:dyDescent="0.25">
      <c r="B31" s="4">
        <v>-30</v>
      </c>
      <c r="C31" s="4">
        <v>5.0000000000000001E-3</v>
      </c>
      <c r="D31" s="2">
        <f t="shared" si="1"/>
        <v>2.5000000000000001E-5</v>
      </c>
      <c r="E31" s="2">
        <f t="shared" si="2"/>
        <v>1.2500000000000002E-7</v>
      </c>
      <c r="F31" s="5">
        <f t="shared" si="0"/>
        <v>-33.70832126861761</v>
      </c>
      <c r="H31" s="2" t="s">
        <v>31</v>
      </c>
      <c r="I31" s="2">
        <v>0.99402794307581266</v>
      </c>
    </row>
    <row r="32" spans="2:13" x14ac:dyDescent="0.25">
      <c r="B32" s="4">
        <v>-20</v>
      </c>
      <c r="C32" s="4">
        <v>0.01</v>
      </c>
      <c r="D32" s="2">
        <f t="shared" si="1"/>
        <v>1E-4</v>
      </c>
      <c r="E32" s="2">
        <f t="shared" si="2"/>
        <v>1.0000000000000002E-6</v>
      </c>
      <c r="F32" s="5">
        <f t="shared" si="0"/>
        <v>-22.931924449707498</v>
      </c>
      <c r="H32" s="2" t="s">
        <v>32</v>
      </c>
      <c r="I32" s="2">
        <v>3.0703938558960342</v>
      </c>
    </row>
    <row r="33" spans="2:13" ht="15.75" thickBot="1" x14ac:dyDescent="0.3">
      <c r="B33" s="4">
        <v>-10</v>
      </c>
      <c r="C33" s="4">
        <v>1.6E-2</v>
      </c>
      <c r="D33" s="2">
        <f t="shared" si="1"/>
        <v>2.5599999999999999E-4</v>
      </c>
      <c r="E33" s="2">
        <f t="shared" si="2"/>
        <v>4.0960000000000003E-6</v>
      </c>
      <c r="F33" s="5">
        <f t="shared" si="0"/>
        <v>-11.28219899422032</v>
      </c>
      <c r="H33" s="7" t="s">
        <v>33</v>
      </c>
      <c r="I33" s="7">
        <v>14</v>
      </c>
    </row>
    <row r="34" spans="2:13" ht="15.75" thickBot="1" x14ac:dyDescent="0.3">
      <c r="B34" s="4">
        <v>0</v>
      </c>
      <c r="C34" s="4">
        <v>0.02</v>
      </c>
      <c r="D34" s="2">
        <f t="shared" si="1"/>
        <v>4.0000000000000002E-4</v>
      </c>
      <c r="E34" s="2">
        <f t="shared" si="2"/>
        <v>8.0000000000000013E-6</v>
      </c>
      <c r="F34" s="5">
        <f t="shared" si="0"/>
        <v>-4.2527990006663039</v>
      </c>
    </row>
    <row r="35" spans="2:13" x14ac:dyDescent="0.25">
      <c r="B35" s="4">
        <v>10</v>
      </c>
      <c r="C35" s="4">
        <v>0.03</v>
      </c>
      <c r="D35" s="2">
        <f t="shared" si="1"/>
        <v>8.9999999999999998E-4</v>
      </c>
      <c r="E35" s="2">
        <f t="shared" si="2"/>
        <v>2.6999999999999999E-5</v>
      </c>
      <c r="F35" s="5">
        <f t="shared" si="0"/>
        <v>10.926903790271465</v>
      </c>
      <c r="H35" s="8"/>
      <c r="I35" s="8" t="s">
        <v>34</v>
      </c>
    </row>
    <row r="36" spans="2:13" x14ac:dyDescent="0.25">
      <c r="B36" s="4">
        <v>20</v>
      </c>
      <c r="C36" s="4">
        <v>3.6999999999999998E-2</v>
      </c>
      <c r="D36" s="2">
        <f t="shared" si="1"/>
        <v>1.3689999999999998E-3</v>
      </c>
      <c r="E36" s="2">
        <f t="shared" si="2"/>
        <v>5.0652999999999991E-5</v>
      </c>
      <c r="F36" s="5">
        <f t="shared" si="0"/>
        <v>19.683969166404992</v>
      </c>
      <c r="H36" s="2" t="s">
        <v>35</v>
      </c>
      <c r="I36" s="2">
        <v>-45.509034469174452</v>
      </c>
    </row>
    <row r="37" spans="2:13" x14ac:dyDescent="0.25">
      <c r="B37" s="4">
        <v>30</v>
      </c>
      <c r="C37" s="4">
        <v>0.05</v>
      </c>
      <c r="D37" s="2">
        <f t="shared" si="1"/>
        <v>2.5000000000000005E-3</v>
      </c>
      <c r="E37" s="2">
        <f t="shared" si="2"/>
        <v>1.2500000000000003E-4</v>
      </c>
      <c r="F37" s="5">
        <f t="shared" si="0"/>
        <v>32.382289047126143</v>
      </c>
      <c r="H37" s="2" t="s">
        <v>36</v>
      </c>
      <c r="I37" s="2">
        <v>2465.8956275453947</v>
      </c>
    </row>
    <row r="38" spans="2:13" x14ac:dyDescent="0.25">
      <c r="B38" s="4">
        <v>40</v>
      </c>
      <c r="C38" s="4">
        <v>6.5000000000000002E-2</v>
      </c>
      <c r="D38" s="2">
        <f t="shared" si="1"/>
        <v>4.2250000000000005E-3</v>
      </c>
      <c r="E38" s="2">
        <f t="shared" si="2"/>
        <v>2.7462500000000002E-4</v>
      </c>
      <c r="F38" s="5">
        <f t="shared" si="0"/>
        <v>42.252147735143112</v>
      </c>
      <c r="H38" s="2" t="s">
        <v>37</v>
      </c>
      <c r="I38" s="2">
        <v>-21482.732413740523</v>
      </c>
    </row>
    <row r="39" spans="2:13" ht="15.75" thickBot="1" x14ac:dyDescent="0.3">
      <c r="B39" s="4">
        <v>50</v>
      </c>
      <c r="C39" s="4">
        <v>0.09</v>
      </c>
      <c r="D39" s="2">
        <f t="shared" si="1"/>
        <v>8.0999999999999996E-3</v>
      </c>
      <c r="E39" s="2">
        <f t="shared" si="2"/>
        <v>7.2899999999999994E-4</v>
      </c>
      <c r="F39" s="5">
        <f t="shared" si="0"/>
        <v>50.836711805777647</v>
      </c>
      <c r="H39" s="7" t="s">
        <v>38</v>
      </c>
      <c r="I39" s="7">
        <v>66426.985387057342</v>
      </c>
    </row>
    <row r="40" spans="2:13" x14ac:dyDescent="0.25">
      <c r="B40" s="4">
        <v>60</v>
      </c>
      <c r="C40" s="4">
        <v>0.125</v>
      </c>
      <c r="D40" s="2">
        <f t="shared" si="1"/>
        <v>1.5625E-2</v>
      </c>
      <c r="E40" s="2">
        <f t="shared" si="2"/>
        <v>1.953125E-3</v>
      </c>
      <c r="F40" s="5">
        <f t="shared" si="0"/>
        <v>56.800430843400562</v>
      </c>
    </row>
    <row r="41" spans="2:13" x14ac:dyDescent="0.25">
      <c r="B41" s="4">
        <v>70</v>
      </c>
      <c r="C41" s="4">
        <v>0.16</v>
      </c>
      <c r="D41" s="2">
        <f t="shared" si="1"/>
        <v>2.5600000000000001E-2</v>
      </c>
      <c r="E41" s="2">
        <f t="shared" si="2"/>
        <v>4.0960000000000007E-3</v>
      </c>
      <c r="F41" s="5">
        <f t="shared" si="0"/>
        <v>71.161248291718266</v>
      </c>
    </row>
    <row r="42" spans="2:13" x14ac:dyDescent="0.25">
      <c r="F42" s="2" t="s">
        <v>39</v>
      </c>
    </row>
    <row r="47" spans="2:13" x14ac:dyDescent="0.25">
      <c r="M47" s="4"/>
    </row>
    <row r="48" spans="2:13" x14ac:dyDescent="0.25">
      <c r="M48" s="4"/>
    </row>
    <row r="49" spans="5:13" x14ac:dyDescent="0.25">
      <c r="M49" s="4"/>
    </row>
    <row r="50" spans="5:13" x14ac:dyDescent="0.25">
      <c r="M50" s="4"/>
    </row>
    <row r="64" spans="5:13" x14ac:dyDescent="0.25">
      <c r="E64" s="9"/>
    </row>
    <row r="65" spans="5:5" x14ac:dyDescent="0.25">
      <c r="E65" s="9"/>
    </row>
    <row r="66" spans="5:5" x14ac:dyDescent="0.25">
      <c r="E66" s="9"/>
    </row>
    <row r="67" spans="5:5" x14ac:dyDescent="0.25">
      <c r="E67" s="9"/>
    </row>
    <row r="68" spans="5:5" x14ac:dyDescent="0.25">
      <c r="E68" s="9"/>
    </row>
    <row r="69" spans="5:5" x14ac:dyDescent="0.25">
      <c r="E69" s="9"/>
    </row>
    <row r="70" spans="5:5" x14ac:dyDescent="0.25">
      <c r="E70" s="9"/>
    </row>
    <row r="71" spans="5:5" x14ac:dyDescent="0.25">
      <c r="E71" s="9"/>
    </row>
    <row r="72" spans="5:5" x14ac:dyDescent="0.25">
      <c r="E72" s="9"/>
    </row>
    <row r="73" spans="5:5" x14ac:dyDescent="0.25">
      <c r="E73" s="9"/>
    </row>
    <row r="74" spans="5:5" x14ac:dyDescent="0.25">
      <c r="E74" s="9"/>
    </row>
    <row r="75" spans="5:5" x14ac:dyDescent="0.25">
      <c r="E75" s="9"/>
    </row>
    <row r="76" spans="5:5" x14ac:dyDescent="0.25">
      <c r="E76" s="9"/>
    </row>
    <row r="77" spans="5:5" x14ac:dyDescent="0.25">
      <c r="E77" s="9"/>
    </row>
    <row r="105" spans="19:21" ht="15.75" thickBot="1" x14ac:dyDescent="0.3">
      <c r="S105" s="7"/>
      <c r="T105" s="7"/>
      <c r="U105" s="7"/>
    </row>
  </sheetData>
  <hyperlinks>
    <hyperlink ref="B3" r:id="rId1" display="https://www.bre.com/PDF/Practical-Hydrocarbon-Dew-Point-Specification-for-Natural-Gas-Transmission-Lines.pdf" xr:uid="{B66AA740-44B4-409E-9162-91510667AB8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5AB5-8AE3-4546-B37E-F3460E019670}">
  <sheetPr>
    <tabColor theme="3" tint="0.749992370372631"/>
  </sheetPr>
  <dimension ref="A1:CE26"/>
  <sheetViews>
    <sheetView zoomScale="109" zoomScaleNormal="100" workbookViewId="0">
      <selection activeCell="E36" sqref="E36"/>
    </sheetView>
  </sheetViews>
  <sheetFormatPr defaultColWidth="8.85546875" defaultRowHeight="15" x14ac:dyDescent="0.25"/>
  <cols>
    <col min="1" max="1" width="4.42578125" style="4" customWidth="1"/>
    <col min="2" max="2" width="18.7109375" style="4" customWidth="1"/>
    <col min="3" max="3" width="10.28515625" style="4" customWidth="1"/>
    <col min="4" max="8" width="8.85546875" style="4"/>
    <col min="9" max="9" width="9.42578125" style="4" customWidth="1"/>
    <col min="10" max="14" width="8.85546875" style="4"/>
    <col min="15" max="15" width="10" style="78" customWidth="1"/>
    <col min="16" max="17" width="8.85546875" style="79"/>
    <col min="18" max="21" width="8.85546875" style="4"/>
    <col min="23" max="25" width="12" style="4" hidden="1" customWidth="1"/>
    <col min="26" max="26" width="16.140625" style="4" customWidth="1"/>
    <col min="27" max="27" width="11" style="4" bestFit="1" customWidth="1"/>
    <col min="28" max="28" width="12" style="4" bestFit="1" customWidth="1"/>
    <col min="29" max="29" width="11" style="4" bestFit="1" customWidth="1"/>
    <col min="30" max="33" width="12" style="4" bestFit="1" customWidth="1"/>
    <col min="34" max="34" width="13.5703125" style="4" customWidth="1"/>
    <col min="35" max="36" width="8.85546875" style="4"/>
    <col min="37" max="37" width="12.42578125" style="4" bestFit="1" customWidth="1"/>
    <col min="38" max="38" width="8.85546875" style="4"/>
    <col min="39" max="39" width="12" style="4" bestFit="1" customWidth="1"/>
    <col min="40" max="52" width="8.85546875" style="4"/>
    <col min="53" max="53" width="12" style="4" bestFit="1" customWidth="1"/>
    <col min="54" max="57" width="8.85546875" style="4"/>
    <col min="58" max="58" width="12" style="4" bestFit="1" customWidth="1"/>
    <col min="59" max="16384" width="8.85546875" style="4"/>
  </cols>
  <sheetData>
    <row r="1" spans="1:25" ht="21" x14ac:dyDescent="0.25">
      <c r="B1" s="77" t="s">
        <v>69</v>
      </c>
      <c r="D1" s="79"/>
      <c r="R1" s="79"/>
      <c r="S1" s="79"/>
      <c r="T1" s="79"/>
      <c r="U1" s="79"/>
      <c r="W1" s="79"/>
      <c r="X1" s="79"/>
    </row>
    <row r="2" spans="1:25" ht="12.75" customHeight="1" x14ac:dyDescent="0.25">
      <c r="B2" s="80" t="s">
        <v>70</v>
      </c>
      <c r="D2" s="79"/>
      <c r="R2" s="79"/>
      <c r="S2" s="79"/>
      <c r="T2" s="79"/>
      <c r="U2" s="79"/>
      <c r="W2" s="79"/>
      <c r="X2" s="79"/>
    </row>
    <row r="3" spans="1:25" ht="5.25" customHeight="1" x14ac:dyDescent="0.25">
      <c r="B3" s="80"/>
      <c r="D3" s="79"/>
      <c r="R3" s="79"/>
      <c r="S3" s="79"/>
      <c r="T3" s="79"/>
      <c r="U3" s="79"/>
      <c r="W3" s="79"/>
      <c r="X3" s="79"/>
    </row>
    <row r="4" spans="1:25" ht="15.75" customHeight="1" x14ac:dyDescent="0.25">
      <c r="B4" s="77"/>
      <c r="C4" s="81" t="s">
        <v>2</v>
      </c>
      <c r="D4" s="79"/>
      <c r="E4" s="82" t="s">
        <v>71</v>
      </c>
      <c r="R4" s="79"/>
      <c r="S4" s="79"/>
      <c r="T4" s="79"/>
      <c r="U4" s="79"/>
      <c r="W4" s="79"/>
      <c r="X4" s="79"/>
    </row>
    <row r="5" spans="1:25" ht="11.25" customHeight="1" x14ac:dyDescent="0.25">
      <c r="A5" s="83"/>
      <c r="Y5" s="84" t="s">
        <v>72</v>
      </c>
    </row>
    <row r="6" spans="1:25" x14ac:dyDescent="0.25">
      <c r="C6" s="67" t="s">
        <v>73</v>
      </c>
      <c r="D6" s="67" t="s">
        <v>10</v>
      </c>
      <c r="E6" s="67"/>
      <c r="F6" s="67"/>
      <c r="G6" s="67" t="s">
        <v>74</v>
      </c>
      <c r="H6" s="67" t="s">
        <v>75</v>
      </c>
      <c r="I6" s="67" t="s">
        <v>76</v>
      </c>
      <c r="J6" s="67" t="s">
        <v>77</v>
      </c>
      <c r="K6" s="67" t="s">
        <v>78</v>
      </c>
      <c r="L6" s="67"/>
      <c r="M6" s="159" t="s">
        <v>79</v>
      </c>
      <c r="N6" s="160"/>
      <c r="O6" s="161"/>
      <c r="P6" s="162" t="s">
        <v>80</v>
      </c>
      <c r="Q6" s="163"/>
      <c r="R6" s="67" t="s">
        <v>81</v>
      </c>
      <c r="S6" s="67" t="s">
        <v>82</v>
      </c>
      <c r="T6" s="67" t="s">
        <v>83</v>
      </c>
      <c r="U6" s="67" t="s">
        <v>84</v>
      </c>
      <c r="W6" s="67"/>
      <c r="X6" s="67"/>
      <c r="Y6" s="67"/>
    </row>
    <row r="7" spans="1:25" ht="15.75" x14ac:dyDescent="0.3">
      <c r="C7" s="28" t="s">
        <v>47</v>
      </c>
      <c r="D7" s="28" t="s">
        <v>65</v>
      </c>
      <c r="E7" s="28" t="s">
        <v>85</v>
      </c>
      <c r="F7" s="28" t="s">
        <v>86</v>
      </c>
      <c r="G7" s="85" t="s">
        <v>87</v>
      </c>
      <c r="H7" s="85" t="s">
        <v>88</v>
      </c>
      <c r="I7" s="28" t="s">
        <v>89</v>
      </c>
      <c r="J7" s="28" t="s">
        <v>90</v>
      </c>
      <c r="K7" s="28" t="s">
        <v>91</v>
      </c>
      <c r="L7" s="28" t="s">
        <v>92</v>
      </c>
      <c r="M7" s="45" t="s">
        <v>93</v>
      </c>
      <c r="N7" s="45" t="s">
        <v>94</v>
      </c>
      <c r="O7" s="86" t="s">
        <v>95</v>
      </c>
      <c r="P7" s="87" t="s">
        <v>93</v>
      </c>
      <c r="Q7" s="87" t="s">
        <v>96</v>
      </c>
      <c r="R7" s="28" t="s">
        <v>97</v>
      </c>
      <c r="S7" s="28" t="s">
        <v>97</v>
      </c>
      <c r="T7" s="28" t="s">
        <v>98</v>
      </c>
      <c r="U7" s="28" t="s">
        <v>99</v>
      </c>
      <c r="W7" s="88" t="s">
        <v>100</v>
      </c>
      <c r="X7" s="88" t="s">
        <v>101</v>
      </c>
      <c r="Y7" s="28" t="s">
        <v>91</v>
      </c>
    </row>
    <row r="8" spans="1:25" x14ac:dyDescent="0.25">
      <c r="B8" s="45" t="s">
        <v>48</v>
      </c>
      <c r="C8" s="81">
        <f>Compositions!I7</f>
        <v>1.1994883333333333E-2</v>
      </c>
      <c r="D8" s="45"/>
      <c r="E8" s="45" t="s">
        <v>102</v>
      </c>
      <c r="F8" s="86">
        <v>28.013000000000002</v>
      </c>
      <c r="G8" s="86">
        <v>-297.33199999999999</v>
      </c>
      <c r="H8" s="45"/>
      <c r="I8" s="47">
        <v>-346</v>
      </c>
      <c r="J8" s="47">
        <v>493</v>
      </c>
      <c r="K8" s="47">
        <v>-232.7</v>
      </c>
      <c r="L8" s="87">
        <v>0.99997000000000003</v>
      </c>
      <c r="M8" s="87">
        <v>0.80940000000000001</v>
      </c>
      <c r="N8" s="86">
        <f t="shared" ref="N8:N18" si="0">M8*$N$23</f>
        <v>6.7479677999999996</v>
      </c>
      <c r="O8" s="86">
        <f t="shared" ref="O8:O10" si="1">F8/N8</f>
        <v>4.1513238993226977</v>
      </c>
      <c r="P8" s="87">
        <f t="shared" ref="P8:P24" si="2">$F8/28.97</f>
        <v>0.96696582671729381</v>
      </c>
      <c r="Q8" s="87">
        <f>13.102/P8</f>
        <v>13.549599828650983</v>
      </c>
      <c r="R8" s="45">
        <v>0.24840000000000001</v>
      </c>
      <c r="S8" s="45"/>
      <c r="T8" s="45"/>
      <c r="U8" s="45"/>
      <c r="W8" s="70">
        <v>470</v>
      </c>
      <c r="X8" s="89">
        <v>109</v>
      </c>
      <c r="Y8" s="70">
        <f>W8*(1/X8-1/($F$1+460))</f>
        <v>3.2901874750698048</v>
      </c>
    </row>
    <row r="9" spans="1:25" x14ac:dyDescent="0.25">
      <c r="B9" s="45" t="s">
        <v>49</v>
      </c>
      <c r="C9" s="81">
        <f>Compositions!I8</f>
        <v>5.5579379999999991E-2</v>
      </c>
      <c r="D9" s="45"/>
      <c r="E9" s="45" t="s">
        <v>103</v>
      </c>
      <c r="F9" s="86">
        <v>44.01</v>
      </c>
      <c r="G9" s="86">
        <v>-109.32</v>
      </c>
      <c r="H9" s="45"/>
      <c r="I9" s="47">
        <v>-69.77</v>
      </c>
      <c r="J9" s="47">
        <v>1071</v>
      </c>
      <c r="K9" s="47">
        <v>87.87</v>
      </c>
      <c r="L9" s="87">
        <v>0.99429999999999996</v>
      </c>
      <c r="M9" s="87">
        <v>0.81759999999999999</v>
      </c>
      <c r="N9" s="86">
        <f t="shared" si="0"/>
        <v>6.8163311999999996</v>
      </c>
      <c r="O9" s="86">
        <f t="shared" si="1"/>
        <v>6.4565524632957976</v>
      </c>
      <c r="P9" s="87">
        <f t="shared" si="2"/>
        <v>1.5191577493959267</v>
      </c>
      <c r="Q9" s="87">
        <f t="shared" ref="Q9:Q24" si="3">13.102/P9</f>
        <v>8.6245157918654858</v>
      </c>
      <c r="R9" s="45">
        <v>0.19900000000000001</v>
      </c>
      <c r="S9" s="45"/>
      <c r="T9" s="45"/>
      <c r="U9" s="45"/>
      <c r="W9" s="70">
        <v>652</v>
      </c>
      <c r="X9" s="89">
        <v>194</v>
      </c>
      <c r="Y9" s="70">
        <f t="shared" ref="Y9:Y23" si="4">W9*(1/X9-1/($F$1+460))</f>
        <v>1.9434334379202152</v>
      </c>
    </row>
    <row r="10" spans="1:25" x14ac:dyDescent="0.25">
      <c r="B10" s="45" t="s">
        <v>50</v>
      </c>
      <c r="C10" s="81">
        <f>Compositions!I9</f>
        <v>0</v>
      </c>
      <c r="D10" s="45"/>
      <c r="E10" s="45" t="s">
        <v>104</v>
      </c>
      <c r="F10" s="86">
        <v>34.076000000000001</v>
      </c>
      <c r="G10" s="86">
        <v>-76.56</v>
      </c>
      <c r="H10" s="45">
        <v>387.1</v>
      </c>
      <c r="I10" s="47">
        <v>-121.58</v>
      </c>
      <c r="J10" s="47">
        <v>1036</v>
      </c>
      <c r="K10" s="47">
        <v>212.6</v>
      </c>
      <c r="L10" s="87">
        <v>0.99029999999999996</v>
      </c>
      <c r="M10" s="87">
        <v>0.78710000000000002</v>
      </c>
      <c r="N10" s="86">
        <f t="shared" si="0"/>
        <v>6.5620526999999997</v>
      </c>
      <c r="O10" s="86">
        <f t="shared" si="1"/>
        <v>5.1928872805303747</v>
      </c>
      <c r="P10" s="87">
        <f t="shared" si="2"/>
        <v>1.1762512944425267</v>
      </c>
      <c r="Q10" s="87">
        <f t="shared" si="3"/>
        <v>11.138776264819814</v>
      </c>
      <c r="R10" s="45">
        <v>0.2379</v>
      </c>
      <c r="S10" s="45">
        <v>0.49680000000000002</v>
      </c>
      <c r="T10" s="45">
        <v>637</v>
      </c>
      <c r="U10" s="45"/>
      <c r="W10" s="70">
        <v>1136</v>
      </c>
      <c r="X10" s="89">
        <v>331</v>
      </c>
      <c r="Y10" s="70">
        <f t="shared" si="4"/>
        <v>0.96245895179298568</v>
      </c>
    </row>
    <row r="11" spans="1:25" x14ac:dyDescent="0.25">
      <c r="B11" s="45" t="s">
        <v>51</v>
      </c>
      <c r="C11" s="81">
        <f>Compositions!I10</f>
        <v>0.7483542133333333</v>
      </c>
      <c r="D11" s="45"/>
      <c r="E11" s="45" t="s">
        <v>105</v>
      </c>
      <c r="F11" s="86">
        <v>16.042999999999999</v>
      </c>
      <c r="G11" s="86">
        <v>-258.7</v>
      </c>
      <c r="H11" s="45">
        <v>5000</v>
      </c>
      <c r="I11" s="47">
        <v>-296.5</v>
      </c>
      <c r="J11" s="47">
        <v>667.8</v>
      </c>
      <c r="K11" s="47">
        <v>-116.68</v>
      </c>
      <c r="L11" s="87">
        <v>0.99809999999999999</v>
      </c>
      <c r="M11" s="87">
        <v>0.3</v>
      </c>
      <c r="N11" s="86">
        <f t="shared" si="0"/>
        <v>2.5010999999999997</v>
      </c>
      <c r="O11" s="86">
        <f>F11/N11</f>
        <v>6.4143776738235179</v>
      </c>
      <c r="P11" s="87">
        <f t="shared" si="2"/>
        <v>0.55377977217811525</v>
      </c>
      <c r="Q11" s="87">
        <f t="shared" si="3"/>
        <v>23.659224583930687</v>
      </c>
      <c r="R11" s="45">
        <v>0.52659999999999996</v>
      </c>
      <c r="S11" s="45"/>
      <c r="T11" s="45">
        <v>1009.7</v>
      </c>
      <c r="U11" s="45"/>
      <c r="W11" s="70">
        <v>300</v>
      </c>
      <c r="X11" s="89">
        <v>94</v>
      </c>
      <c r="Y11" s="70">
        <f t="shared" si="4"/>
        <v>2.5393154486586496</v>
      </c>
    </row>
    <row r="12" spans="1:25" x14ac:dyDescent="0.25">
      <c r="B12" s="45" t="s">
        <v>52</v>
      </c>
      <c r="C12" s="81">
        <f>Compositions!I11</f>
        <v>0.10365652333333332</v>
      </c>
      <c r="D12" s="86">
        <f t="shared" ref="D12:D22" si="5">O12*C12/0.3795</f>
        <v>2.8229137544124967</v>
      </c>
      <c r="E12" s="45" t="s">
        <v>106</v>
      </c>
      <c r="F12" s="86">
        <v>30.7</v>
      </c>
      <c r="G12" s="86">
        <v>-127.44</v>
      </c>
      <c r="H12" s="45">
        <v>800</v>
      </c>
      <c r="I12" s="47">
        <v>-297.04000000000002</v>
      </c>
      <c r="J12" s="47">
        <v>707.8</v>
      </c>
      <c r="K12" s="47">
        <v>90.1</v>
      </c>
      <c r="L12" s="87">
        <v>0.99609999999999999</v>
      </c>
      <c r="M12" s="87">
        <v>0.35630000000000001</v>
      </c>
      <c r="N12" s="86">
        <f t="shared" si="0"/>
        <v>2.9704731</v>
      </c>
      <c r="O12" s="86">
        <f t="shared" ref="O12:O23" si="6">F12/N12</f>
        <v>10.335054035668595</v>
      </c>
      <c r="P12" s="87">
        <f t="shared" si="2"/>
        <v>1.0597169485674836</v>
      </c>
      <c r="Q12" s="87">
        <f t="shared" si="3"/>
        <v>12.363678827361564</v>
      </c>
      <c r="R12" s="45">
        <v>0.40799999999999997</v>
      </c>
      <c r="S12" s="45">
        <v>0.92559999999999998</v>
      </c>
      <c r="T12" s="45">
        <v>1768</v>
      </c>
      <c r="U12" s="45">
        <v>65889</v>
      </c>
      <c r="W12" s="70">
        <v>1145</v>
      </c>
      <c r="X12" s="89">
        <v>303</v>
      </c>
      <c r="Y12" s="70">
        <f t="shared" si="4"/>
        <v>1.2897474530061701</v>
      </c>
    </row>
    <row r="13" spans="1:25" x14ac:dyDescent="0.25">
      <c r="B13" s="45" t="s">
        <v>53</v>
      </c>
      <c r="C13" s="81">
        <f>Compositions!I12</f>
        <v>4.9144E-2</v>
      </c>
      <c r="D13" s="86">
        <f t="shared" si="5"/>
        <v>1.3496523605588542</v>
      </c>
      <c r="E13" s="45" t="s">
        <v>107</v>
      </c>
      <c r="F13" s="86">
        <v>44.097000000000001</v>
      </c>
      <c r="G13" s="86">
        <v>-43.73</v>
      </c>
      <c r="H13" s="45">
        <v>188</v>
      </c>
      <c r="I13" s="47">
        <v>-305.82</v>
      </c>
      <c r="J13" s="47">
        <v>616.29999999999995</v>
      </c>
      <c r="K13" s="47">
        <v>206.1</v>
      </c>
      <c r="L13" s="87">
        <v>0.98080000000000001</v>
      </c>
      <c r="M13" s="87">
        <v>0.50749999999999995</v>
      </c>
      <c r="N13" s="86">
        <f t="shared" si="0"/>
        <v>4.2310274999999997</v>
      </c>
      <c r="O13" s="86">
        <f t="shared" si="6"/>
        <v>10.422291039233379</v>
      </c>
      <c r="P13" s="87">
        <f t="shared" si="2"/>
        <v>1.5221608560579911</v>
      </c>
      <c r="Q13" s="87">
        <f t="shared" si="3"/>
        <v>8.6075002834659955</v>
      </c>
      <c r="R13" s="45">
        <v>0.38869999999999999</v>
      </c>
      <c r="S13" s="45">
        <v>0.59019999999999995</v>
      </c>
      <c r="T13" s="45">
        <v>2517</v>
      </c>
      <c r="U13" s="45">
        <v>90962</v>
      </c>
      <c r="W13" s="70">
        <v>1799</v>
      </c>
      <c r="X13" s="89">
        <v>416</v>
      </c>
      <c r="Y13" s="70">
        <f t="shared" si="4"/>
        <v>0.41364966555183968</v>
      </c>
    </row>
    <row r="14" spans="1:25" x14ac:dyDescent="0.25">
      <c r="B14" s="45" t="s">
        <v>54</v>
      </c>
      <c r="C14" s="81">
        <f>Compositions!I13</f>
        <v>6.4696433333333329E-3</v>
      </c>
      <c r="D14" s="86">
        <f t="shared" si="5"/>
        <v>0.21110856638683789</v>
      </c>
      <c r="E14" s="45" t="s">
        <v>108</v>
      </c>
      <c r="F14" s="86">
        <v>58.124000000000002</v>
      </c>
      <c r="G14" s="86">
        <v>10.74</v>
      </c>
      <c r="H14" s="45">
        <v>72.39</v>
      </c>
      <c r="I14" s="47">
        <v>-255.28</v>
      </c>
      <c r="J14" s="47">
        <v>529.1</v>
      </c>
      <c r="K14" s="47">
        <v>274.95999999999998</v>
      </c>
      <c r="L14" s="87">
        <v>0.96609999999999996</v>
      </c>
      <c r="M14" s="87">
        <v>0.56299999999999994</v>
      </c>
      <c r="N14" s="86">
        <f t="shared" si="0"/>
        <v>4.6937309999999997</v>
      </c>
      <c r="O14" s="86">
        <f t="shared" si="6"/>
        <v>12.383325759401211</v>
      </c>
      <c r="P14" s="87">
        <f t="shared" si="2"/>
        <v>2.0063513979979288</v>
      </c>
      <c r="Q14" s="87">
        <f t="shared" si="3"/>
        <v>6.5302618539673807</v>
      </c>
      <c r="R14" s="45">
        <v>0.38669999999999999</v>
      </c>
      <c r="S14" s="45">
        <v>0.56599999999999995</v>
      </c>
      <c r="T14" s="45">
        <v>3252</v>
      </c>
      <c r="U14" s="45">
        <v>98968</v>
      </c>
      <c r="W14" s="70">
        <v>2037</v>
      </c>
      <c r="X14" s="89">
        <v>471</v>
      </c>
      <c r="Y14" s="70">
        <f t="shared" si="4"/>
        <v>-0.10342010523400733</v>
      </c>
    </row>
    <row r="15" spans="1:25" x14ac:dyDescent="0.25">
      <c r="B15" s="45" t="s">
        <v>55</v>
      </c>
      <c r="C15" s="81">
        <f>Compositions!I14</f>
        <v>1.4280399999999999E-2</v>
      </c>
      <c r="D15" s="86">
        <f t="shared" si="5"/>
        <v>0.44899178857429634</v>
      </c>
      <c r="E15" s="45" t="s">
        <v>108</v>
      </c>
      <c r="F15" s="86">
        <v>58.124000000000002</v>
      </c>
      <c r="G15" s="86">
        <v>31.12</v>
      </c>
      <c r="H15" s="45">
        <v>51.54</v>
      </c>
      <c r="I15" s="47">
        <v>-217.05</v>
      </c>
      <c r="J15" s="47">
        <v>550.70000000000005</v>
      </c>
      <c r="K15" s="47">
        <v>305.62</v>
      </c>
      <c r="L15" s="87">
        <v>0.93669999999999998</v>
      </c>
      <c r="M15" s="87">
        <v>0.58430000000000004</v>
      </c>
      <c r="N15" s="86">
        <f t="shared" si="0"/>
        <v>4.8713091000000004</v>
      </c>
      <c r="O15" s="86">
        <f t="shared" si="6"/>
        <v>11.931905532334213</v>
      </c>
      <c r="P15" s="87">
        <f t="shared" si="2"/>
        <v>2.0063513979979288</v>
      </c>
      <c r="Q15" s="87">
        <f t="shared" si="3"/>
        <v>6.5302618539673807</v>
      </c>
      <c r="R15" s="45">
        <v>0.39510000000000001</v>
      </c>
      <c r="S15" s="45">
        <v>0.56599999999999995</v>
      </c>
      <c r="T15" s="45">
        <v>3262</v>
      </c>
      <c r="U15" s="45">
        <v>102918</v>
      </c>
      <c r="W15" s="70">
        <v>2153</v>
      </c>
      <c r="X15" s="89">
        <v>491</v>
      </c>
      <c r="Y15" s="70">
        <f t="shared" si="4"/>
        <v>-0.29550606570441912</v>
      </c>
    </row>
    <row r="16" spans="1:25" x14ac:dyDescent="0.25">
      <c r="B16" s="45" t="s">
        <v>56</v>
      </c>
      <c r="C16" s="81">
        <f>Compositions!I15</f>
        <v>3.3084933333333336E-3</v>
      </c>
      <c r="D16" s="95">
        <f t="shared" si="5"/>
        <v>0.12083371903709253</v>
      </c>
      <c r="E16" s="45" t="s">
        <v>109</v>
      </c>
      <c r="F16" s="86">
        <v>72.150999999999996</v>
      </c>
      <c r="G16" s="86">
        <v>82.11</v>
      </c>
      <c r="H16" s="45">
        <v>20.443999999999999</v>
      </c>
      <c r="I16" s="47">
        <v>-255.82</v>
      </c>
      <c r="J16" s="47">
        <v>490.4</v>
      </c>
      <c r="K16" s="47">
        <v>369.03</v>
      </c>
      <c r="L16" s="87">
        <v>0.94799999999999995</v>
      </c>
      <c r="M16" s="87">
        <v>0.62439999999999996</v>
      </c>
      <c r="N16" s="86">
        <f t="shared" si="0"/>
        <v>5.2056227999999996</v>
      </c>
      <c r="O16" s="86">
        <f t="shared" si="6"/>
        <v>13.860205161234502</v>
      </c>
      <c r="P16" s="87">
        <f t="shared" si="2"/>
        <v>2.4905419399378665</v>
      </c>
      <c r="Q16" s="87">
        <f t="shared" si="3"/>
        <v>5.260702415766934</v>
      </c>
      <c r="R16" s="45">
        <v>0.38290000000000002</v>
      </c>
      <c r="S16" s="45">
        <v>0.5353</v>
      </c>
      <c r="T16" s="45">
        <v>4000</v>
      </c>
      <c r="U16" s="45">
        <v>108722</v>
      </c>
      <c r="W16" s="70">
        <v>2368</v>
      </c>
      <c r="X16" s="89">
        <v>542</v>
      </c>
      <c r="Y16" s="70">
        <f t="shared" si="4"/>
        <v>-0.77882239691962152</v>
      </c>
    </row>
    <row r="17" spans="2:83" x14ac:dyDescent="0.25">
      <c r="B17" s="45" t="s">
        <v>57</v>
      </c>
      <c r="C17" s="81">
        <f>Compositions!I16</f>
        <v>3.4617033333333332E-3</v>
      </c>
      <c r="D17" s="95">
        <f t="shared" si="5"/>
        <v>0.12508707553319992</v>
      </c>
      <c r="E17" s="45" t="s">
        <v>109</v>
      </c>
      <c r="F17" s="86">
        <v>72.150999999999996</v>
      </c>
      <c r="G17" s="86">
        <v>96.91</v>
      </c>
      <c r="H17" s="45">
        <v>15.574999999999999</v>
      </c>
      <c r="I17" s="47">
        <v>-201.51</v>
      </c>
      <c r="J17" s="47">
        <v>488.6</v>
      </c>
      <c r="K17" s="47">
        <v>385.6</v>
      </c>
      <c r="L17" s="87">
        <v>0.94199999999999995</v>
      </c>
      <c r="M17" s="87">
        <v>0.63109999999999999</v>
      </c>
      <c r="N17" s="86">
        <f t="shared" si="0"/>
        <v>5.2614806999999999</v>
      </c>
      <c r="O17" s="86">
        <f t="shared" si="6"/>
        <v>13.713059899659044</v>
      </c>
      <c r="P17" s="87">
        <f t="shared" si="2"/>
        <v>2.4905419399378665</v>
      </c>
      <c r="Q17" s="87">
        <f t="shared" si="3"/>
        <v>5.260702415766934</v>
      </c>
      <c r="R17" s="45">
        <v>0.39900000000000002</v>
      </c>
      <c r="S17" s="45">
        <v>0.54800000000000004</v>
      </c>
      <c r="T17" s="45">
        <v>4008</v>
      </c>
      <c r="U17" s="45">
        <v>110071</v>
      </c>
      <c r="W17" s="70">
        <v>2480</v>
      </c>
      <c r="X17" s="89">
        <v>557</v>
      </c>
      <c r="Y17" s="70">
        <f t="shared" si="4"/>
        <v>-0.93888064944188576</v>
      </c>
    </row>
    <row r="18" spans="2:83" x14ac:dyDescent="0.25">
      <c r="B18" s="45" t="s">
        <v>14</v>
      </c>
      <c r="C18" s="81">
        <f>Compositions!I17</f>
        <v>3.0104900000000306E-3</v>
      </c>
      <c r="D18" s="96">
        <f t="shared" si="5"/>
        <v>0.12349345430826886</v>
      </c>
      <c r="E18" s="45" t="s">
        <v>110</v>
      </c>
      <c r="F18" s="86">
        <v>86.177999999999997</v>
      </c>
      <c r="G18" s="86">
        <v>155.72999999999999</v>
      </c>
      <c r="H18" s="45">
        <v>4.96</v>
      </c>
      <c r="I18" s="47">
        <v>-139.58000000000001</v>
      </c>
      <c r="J18" s="47">
        <v>710.4</v>
      </c>
      <c r="K18" s="47">
        <v>453.6</v>
      </c>
      <c r="L18" s="87">
        <v>0.91</v>
      </c>
      <c r="M18" s="87">
        <v>0.66400000000000003</v>
      </c>
      <c r="N18" s="86">
        <f t="shared" si="0"/>
        <v>5.535768</v>
      </c>
      <c r="O18" s="86">
        <f t="shared" si="6"/>
        <v>15.567487654829465</v>
      </c>
      <c r="P18" s="87">
        <f t="shared" si="2"/>
        <v>2.9747324818778047</v>
      </c>
      <c r="Q18" s="87">
        <f t="shared" si="3"/>
        <v>4.4044296688249904</v>
      </c>
      <c r="R18" s="45">
        <v>0.38569999999999999</v>
      </c>
      <c r="S18" s="45">
        <v>0.53320000000000001</v>
      </c>
      <c r="T18" s="45">
        <v>4756</v>
      </c>
      <c r="U18" s="45">
        <v>115055</v>
      </c>
      <c r="W18" s="70">
        <v>2738</v>
      </c>
      <c r="X18" s="89">
        <v>610</v>
      </c>
      <c r="Y18" s="70">
        <f t="shared" si="4"/>
        <v>-1.463649322879544</v>
      </c>
    </row>
    <row r="19" spans="2:83" x14ac:dyDescent="0.25">
      <c r="B19" s="45" t="s">
        <v>58</v>
      </c>
      <c r="C19" s="81">
        <f>Compositions!I18</f>
        <v>4.9864333333333327E-4</v>
      </c>
      <c r="D19" s="96">
        <f t="shared" si="5"/>
        <v>2.0454872031171752E-2</v>
      </c>
      <c r="E19" s="45" t="s">
        <v>110</v>
      </c>
      <c r="F19" s="86">
        <v>86.177999999999997</v>
      </c>
      <c r="G19" s="86">
        <v>155.72999999999999</v>
      </c>
      <c r="H19" s="45">
        <v>4.96</v>
      </c>
      <c r="I19" s="47">
        <v>-139.58000000000001</v>
      </c>
      <c r="J19" s="47">
        <v>710.4</v>
      </c>
      <c r="K19" s="47">
        <v>453.6</v>
      </c>
      <c r="L19" s="87">
        <v>0.91</v>
      </c>
      <c r="M19" s="87">
        <v>0.66400000000000003</v>
      </c>
      <c r="N19" s="86">
        <f t="shared" ref="N19" si="7">M19*$N$23</f>
        <v>5.535768</v>
      </c>
      <c r="O19" s="86">
        <f t="shared" ref="O19" si="8">F19/N19</f>
        <v>15.567487654829465</v>
      </c>
      <c r="P19" s="87">
        <f t="shared" si="2"/>
        <v>2.9747324818778047</v>
      </c>
      <c r="Q19" s="87">
        <f t="shared" ref="Q19" si="9">13.102/P19</f>
        <v>4.4044296688249904</v>
      </c>
      <c r="R19" s="45">
        <v>0.38569999999999999</v>
      </c>
      <c r="S19" s="45">
        <v>0.53320000000000001</v>
      </c>
      <c r="T19" s="45">
        <v>4756</v>
      </c>
      <c r="U19" s="45">
        <v>115055</v>
      </c>
      <c r="W19" s="90">
        <v>2800</v>
      </c>
      <c r="X19" s="89">
        <v>619</v>
      </c>
      <c r="Y19" s="70">
        <f t="shared" si="4"/>
        <v>-1.5635316429022965</v>
      </c>
    </row>
    <row r="20" spans="2:83" x14ac:dyDescent="0.25">
      <c r="B20" s="45" t="s">
        <v>59</v>
      </c>
      <c r="C20" s="81">
        <f>Compositions!I19</f>
        <v>2.0944666666666668E-4</v>
      </c>
      <c r="D20" s="96">
        <f t="shared" si="5"/>
        <v>6.9957358304644597E-3</v>
      </c>
      <c r="E20" s="45" t="s">
        <v>112</v>
      </c>
      <c r="F20" s="86">
        <v>92.14</v>
      </c>
      <c r="G20" s="86">
        <v>231.13</v>
      </c>
      <c r="H20" s="45">
        <v>1.0029999999999999</v>
      </c>
      <c r="I20" s="47">
        <v>-138.97999999999999</v>
      </c>
      <c r="J20" s="47">
        <v>595.5</v>
      </c>
      <c r="K20" s="47">
        <v>605.57000000000005</v>
      </c>
      <c r="L20" s="87">
        <v>0.90300000000000002</v>
      </c>
      <c r="M20" s="87">
        <v>0.87190000000000001</v>
      </c>
      <c r="N20" s="86">
        <f>M20*$N$23</f>
        <v>7.2690302999999998</v>
      </c>
      <c r="O20" s="86">
        <f t="shared" si="6"/>
        <v>12.675693482801965</v>
      </c>
      <c r="P20" s="87">
        <f t="shared" si="2"/>
        <v>3.1805315843976527</v>
      </c>
      <c r="Q20" s="87">
        <f t="shared" si="3"/>
        <v>4.1194371608421969</v>
      </c>
      <c r="R20" s="45">
        <v>0.25979999999999998</v>
      </c>
      <c r="S20" s="45">
        <v>0.40089999999999998</v>
      </c>
      <c r="T20" s="45">
        <v>4475</v>
      </c>
      <c r="U20" s="45">
        <v>132659</v>
      </c>
      <c r="W20" s="45">
        <v>3000</v>
      </c>
      <c r="X20" s="30">
        <v>800</v>
      </c>
      <c r="Y20" s="70">
        <f t="shared" si="4"/>
        <v>-2.7717391304347827</v>
      </c>
    </row>
    <row r="21" spans="2:83" x14ac:dyDescent="0.25">
      <c r="B21" s="45" t="s">
        <v>60</v>
      </c>
      <c r="C21" s="81">
        <f>Compositions!I20</f>
        <v>7.3000000000000004E-6</v>
      </c>
      <c r="D21" s="96">
        <f t="shared" si="5"/>
        <v>2.8101129602234066E-4</v>
      </c>
      <c r="E21" s="45" t="s">
        <v>113</v>
      </c>
      <c r="F21" s="86">
        <v>106.167</v>
      </c>
      <c r="G21" s="86">
        <v>277.16000000000003</v>
      </c>
      <c r="H21" s="45">
        <v>0.37159999999999999</v>
      </c>
      <c r="I21" s="47">
        <v>-138.96</v>
      </c>
      <c r="J21" s="47">
        <v>523.4</v>
      </c>
      <c r="K21" s="47">
        <v>651.29</v>
      </c>
      <c r="L21" s="87">
        <v>0.9</v>
      </c>
      <c r="M21" s="87">
        <v>0.87170000000000003</v>
      </c>
      <c r="N21" s="86">
        <f>M21*$N$23</f>
        <v>7.2673629000000002</v>
      </c>
      <c r="O21" s="86">
        <f t="shared" si="6"/>
        <v>14.608737923353187</v>
      </c>
      <c r="P21" s="87">
        <f t="shared" si="2"/>
        <v>3.6647221263375909</v>
      </c>
      <c r="Q21" s="87">
        <f t="shared" si="3"/>
        <v>3.5751687435832227</v>
      </c>
      <c r="R21" s="45">
        <v>0.27950000000000003</v>
      </c>
      <c r="S21" s="45">
        <v>0.4113</v>
      </c>
      <c r="T21" s="45">
        <v>5222</v>
      </c>
      <c r="U21" s="45">
        <v>134381</v>
      </c>
      <c r="W21" s="45">
        <v>4200</v>
      </c>
      <c r="X21" s="30">
        <v>850</v>
      </c>
      <c r="Y21" s="70">
        <f t="shared" si="4"/>
        <v>-4.1892583120204607</v>
      </c>
    </row>
    <row r="22" spans="2:83" x14ac:dyDescent="0.25">
      <c r="B22" s="45" t="s">
        <v>61</v>
      </c>
      <c r="C22" s="81">
        <f>Compositions!I21</f>
        <v>2.4879999999999996E-5</v>
      </c>
      <c r="D22" s="96">
        <f t="shared" si="5"/>
        <v>9.436124816196628E-4</v>
      </c>
      <c r="E22" s="45" t="s">
        <v>113</v>
      </c>
      <c r="F22" s="86">
        <v>106.16</v>
      </c>
      <c r="G22" s="86">
        <v>291.97000000000003</v>
      </c>
      <c r="H22" s="45">
        <v>0.26429999999999998</v>
      </c>
      <c r="I22" s="47">
        <v>-13.32</v>
      </c>
      <c r="J22" s="47">
        <v>541.6</v>
      </c>
      <c r="K22" s="47">
        <v>674.92</v>
      </c>
      <c r="L22" s="87">
        <v>0.9</v>
      </c>
      <c r="M22" s="87">
        <v>0.88470000000000004</v>
      </c>
      <c r="N22" s="86">
        <f>M22*$N$23</f>
        <v>7.3757438999999998</v>
      </c>
      <c r="O22" s="86">
        <f t="shared" si="6"/>
        <v>14.393124468434973</v>
      </c>
      <c r="P22" s="87">
        <f t="shared" si="2"/>
        <v>3.6644804970659304</v>
      </c>
      <c r="Q22" s="87">
        <f t="shared" si="3"/>
        <v>3.5754044837980405</v>
      </c>
      <c r="R22" s="45">
        <v>0.29139999999999999</v>
      </c>
      <c r="S22" s="45">
        <v>0.41610000000000003</v>
      </c>
      <c r="T22" s="45">
        <v>5209</v>
      </c>
      <c r="U22" s="45">
        <v>136036</v>
      </c>
      <c r="W22" s="45">
        <v>4200</v>
      </c>
      <c r="X22" s="30">
        <v>880</v>
      </c>
      <c r="Y22" s="70">
        <f t="shared" si="4"/>
        <v>-4.3577075098814229</v>
      </c>
    </row>
    <row r="23" spans="2:83" x14ac:dyDescent="0.25">
      <c r="B23" s="45" t="s">
        <v>62</v>
      </c>
      <c r="C23" s="81">
        <f>Compositions!I22</f>
        <v>2.4879999999999996E-5</v>
      </c>
      <c r="D23" s="86"/>
      <c r="E23" s="45" t="s">
        <v>114</v>
      </c>
      <c r="F23" s="86">
        <v>18.015000000000001</v>
      </c>
      <c r="G23" s="86">
        <v>212</v>
      </c>
      <c r="H23" s="45">
        <v>0.94950000000000001</v>
      </c>
      <c r="I23" s="47">
        <v>32</v>
      </c>
      <c r="J23" s="47">
        <v>3207.9</v>
      </c>
      <c r="K23" s="47">
        <v>705.5</v>
      </c>
      <c r="L23" s="87">
        <v>0.34339999999999998</v>
      </c>
      <c r="M23" s="87">
        <v>1</v>
      </c>
      <c r="N23" s="86">
        <v>8.3369999999999997</v>
      </c>
      <c r="O23" s="86">
        <f t="shared" si="6"/>
        <v>2.1608492263404102</v>
      </c>
      <c r="P23" s="87">
        <f t="shared" si="2"/>
        <v>0.62185018985157059</v>
      </c>
      <c r="Q23" s="87">
        <f t="shared" si="3"/>
        <v>21.06938329170136</v>
      </c>
      <c r="R23" s="45">
        <v>0.44469999999999998</v>
      </c>
      <c r="S23" s="45">
        <v>1.0009999999999999</v>
      </c>
      <c r="T23" s="45">
        <v>49</v>
      </c>
      <c r="U23" s="45">
        <v>0</v>
      </c>
      <c r="W23" s="45">
        <v>2000</v>
      </c>
      <c r="X23" s="30">
        <v>400</v>
      </c>
      <c r="Y23" s="70">
        <f t="shared" si="4"/>
        <v>0.65217391304347827</v>
      </c>
    </row>
    <row r="24" spans="2:83" s="94" customFormat="1" x14ac:dyDescent="0.25">
      <c r="B24" s="70" t="s">
        <v>115</v>
      </c>
      <c r="C24" s="91">
        <f>SUM(C8:C23)</f>
        <v>1.0000248799999998</v>
      </c>
      <c r="D24" s="93">
        <f>SUM(D12:D22)</f>
        <v>5.2307559504503249</v>
      </c>
      <c r="E24" s="70"/>
      <c r="F24" s="86">
        <f t="shared" ref="F24:O24" si="10">F8*$C8+F9*$C9+F10*$C10+F11*$C11+F12*$C12+F13*$C13+F14*$C14+F15*$C15+F16*$C16+F17*$C17+F18*$C18+F19*$C19+F20*$C20+F21*$C21+F22*$C22+F23*$C23</f>
        <v>22.157391039226667</v>
      </c>
      <c r="G24" s="86">
        <f t="shared" si="10"/>
        <v>-216.87021705709995</v>
      </c>
      <c r="H24" s="86">
        <f t="shared" si="10"/>
        <v>3835.2789097857203</v>
      </c>
      <c r="I24" s="86">
        <f t="shared" si="10"/>
        <v>-282.54892035156672</v>
      </c>
      <c r="J24" s="86">
        <f t="shared" si="10"/>
        <v>686.16137167966644</v>
      </c>
      <c r="K24" s="86">
        <f t="shared" si="10"/>
        <v>-55.300675846866653</v>
      </c>
      <c r="L24" s="87">
        <f t="shared" si="10"/>
        <v>0.99508623623083348</v>
      </c>
      <c r="M24" s="86">
        <f>N24/N23</f>
        <v>0.3603329098773333</v>
      </c>
      <c r="N24" s="86">
        <f t="shared" si="10"/>
        <v>3.0040954696473277</v>
      </c>
      <c r="O24" s="86">
        <f t="shared" si="10"/>
        <v>7.1939980319404517</v>
      </c>
      <c r="P24" s="92">
        <f t="shared" si="2"/>
        <v>0.76483917981452076</v>
      </c>
      <c r="Q24" s="87">
        <f t="shared" si="3"/>
        <v>17.130398580231383</v>
      </c>
      <c r="R24" s="86">
        <f>R8*$C8+R9*$C9+R10*$C10+R11*$C11+R12*$C12+R13*$C13+R14*$C14+R15*$C15+R16*$C16+R17*$C17+R18*$C18+R19*$C19+R20*$C20+R21*$C21+R22*$C22+R23*$C23</f>
        <v>0.48173756903433312</v>
      </c>
      <c r="S24" s="86">
        <f t="shared" ref="S24:U24" si="11">S8*$C8+S9*$C9+S10*$C10+S11*$C11+S12*$C12+S13*$C13+S14*$C14+S15*$C15+S16*$C16+S17*$C17+S18*$C18+S19*$C19+S20*$C20+S21*$C21+S22*$C22+S23*$C23</f>
        <v>0.14235513823199999</v>
      </c>
      <c r="T24" s="40">
        <f t="shared" si="11"/>
        <v>1175.0995072759999</v>
      </c>
      <c r="U24" s="40">
        <f t="shared" si="11"/>
        <v>14586.692100313334</v>
      </c>
      <c r="W24" s="4"/>
      <c r="X24" s="4"/>
      <c r="Y24" s="45"/>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row>
    <row r="25" spans="2:83" x14ac:dyDescent="0.25">
      <c r="D25" s="78"/>
      <c r="F25" s="78"/>
      <c r="G25" s="78"/>
      <c r="H25" s="78"/>
      <c r="I25" s="78"/>
      <c r="J25" s="78"/>
      <c r="K25" s="78"/>
      <c r="L25" s="78"/>
      <c r="M25" s="78"/>
      <c r="N25" s="78"/>
      <c r="P25" s="78"/>
      <c r="Q25" s="79" t="s">
        <v>116</v>
      </c>
      <c r="R25" s="78"/>
      <c r="S25" s="78"/>
      <c r="T25" s="78"/>
      <c r="U25" s="78"/>
    </row>
    <row r="26" spans="2:83" x14ac:dyDescent="0.25">
      <c r="B26" s="4" t="s">
        <v>117</v>
      </c>
    </row>
  </sheetData>
  <protectedRanges>
    <protectedRange sqref="W11:X19" name="نطاق3_1"/>
    <protectedRange sqref="W7:X7" name="نطاق3_2"/>
    <protectedRange sqref="Y8:Y23" name="نطاق3_4"/>
    <protectedRange sqref="Y5" name="نطاق3_8"/>
  </protectedRanges>
  <scenarios current="0">
    <scenario name="flash 1" count="1" user="Wayne Landon" comment="Created by Wayne Landon on 2/28/2025">
      <inputCells r="AB1" val="0.982119957531923"/>
    </scenario>
  </scenarios>
  <mergeCells count="2">
    <mergeCell ref="M6:O6"/>
    <mergeCell ref="P6:Q6"/>
  </mergeCells>
  <phoneticPr fontId="1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7BCE1-95FF-485F-BEF4-2A9D59735605}">
  <sheetPr codeName="Sheet7">
    <tabColor rgb="FFFF66FF"/>
    <pageSetUpPr fitToPage="1"/>
  </sheetPr>
  <dimension ref="B1:V30"/>
  <sheetViews>
    <sheetView workbookViewId="0"/>
  </sheetViews>
  <sheetFormatPr defaultRowHeight="15" x14ac:dyDescent="0.25"/>
  <cols>
    <col min="1" max="1" width="2.7109375" customWidth="1"/>
    <col min="2" max="2" width="21.28515625" customWidth="1"/>
    <col min="3" max="3" width="9.7109375" hidden="1" customWidth="1"/>
    <col min="4" max="5" width="11.140625" hidden="1" customWidth="1"/>
    <col min="7" max="7" width="8.7109375" customWidth="1"/>
    <col min="10" max="10" width="10.28515625" customWidth="1"/>
  </cols>
  <sheetData>
    <row r="1" spans="2:22" s="2" customFormat="1" ht="9.75" customHeight="1" x14ac:dyDescent="0.25"/>
    <row r="2" spans="2:22" s="2" customFormat="1" ht="18.75" x14ac:dyDescent="0.3">
      <c r="F2" s="15" t="s">
        <v>40</v>
      </c>
    </row>
    <row r="3" spans="2:22" s="2" customFormat="1" ht="15.75" thickBot="1" x14ac:dyDescent="0.3"/>
    <row r="4" spans="2:22" s="2" customFormat="1" ht="15.75" thickBot="1" x14ac:dyDescent="0.3">
      <c r="F4" s="16"/>
      <c r="G4" s="17" t="s">
        <v>41</v>
      </c>
      <c r="H4" s="18"/>
      <c r="I4" s="18"/>
      <c r="J4" s="69" t="s">
        <v>42</v>
      </c>
      <c r="K4" s="18"/>
      <c r="L4" s="18"/>
      <c r="M4" s="18"/>
      <c r="N4" s="18"/>
      <c r="O4" s="17" t="s">
        <v>43</v>
      </c>
      <c r="P4" s="18"/>
      <c r="Q4" s="18"/>
      <c r="R4" s="18"/>
      <c r="S4" s="18"/>
      <c r="T4" s="18"/>
      <c r="U4" s="18"/>
      <c r="V4" s="19"/>
    </row>
    <row r="5" spans="2:22" x14ac:dyDescent="0.25">
      <c r="B5" s="20" t="s">
        <v>44</v>
      </c>
      <c r="C5" s="21">
        <v>1</v>
      </c>
      <c r="D5" s="22">
        <v>2</v>
      </c>
      <c r="E5" s="23">
        <v>3</v>
      </c>
      <c r="F5" s="24">
        <v>1</v>
      </c>
      <c r="G5" s="22">
        <v>2</v>
      </c>
      <c r="H5" s="22">
        <v>3</v>
      </c>
      <c r="I5" s="23" t="s">
        <v>45</v>
      </c>
      <c r="J5" s="20">
        <v>7</v>
      </c>
      <c r="K5" s="21">
        <v>4</v>
      </c>
      <c r="L5" s="22">
        <v>5</v>
      </c>
      <c r="M5" s="22">
        <v>6</v>
      </c>
      <c r="N5" s="22">
        <v>7</v>
      </c>
      <c r="O5" s="22">
        <v>8</v>
      </c>
      <c r="P5" s="22">
        <v>9</v>
      </c>
      <c r="Q5" s="22">
        <v>10</v>
      </c>
      <c r="R5" s="22">
        <v>11</v>
      </c>
      <c r="S5" s="22">
        <v>12</v>
      </c>
      <c r="T5" s="22">
        <v>13</v>
      </c>
      <c r="U5" s="22">
        <v>14</v>
      </c>
      <c r="V5" s="25">
        <v>15</v>
      </c>
    </row>
    <row r="6" spans="2:22" s="2" customFormat="1" x14ac:dyDescent="0.25">
      <c r="B6" s="26" t="s">
        <v>46</v>
      </c>
      <c r="C6" s="27" t="s">
        <v>47</v>
      </c>
      <c r="D6" s="28" t="s">
        <v>47</v>
      </c>
      <c r="E6" s="29" t="s">
        <v>47</v>
      </c>
      <c r="F6" s="49" t="s">
        <v>47</v>
      </c>
      <c r="G6" s="45" t="s">
        <v>47</v>
      </c>
      <c r="H6" s="45" t="s">
        <v>47</v>
      </c>
      <c r="I6" s="30" t="s">
        <v>47</v>
      </c>
      <c r="J6" s="26" t="s">
        <v>47</v>
      </c>
      <c r="K6" s="44" t="s">
        <v>47</v>
      </c>
      <c r="L6" s="45" t="s">
        <v>47</v>
      </c>
      <c r="M6" s="45" t="s">
        <v>47</v>
      </c>
      <c r="N6" s="45" t="s">
        <v>47</v>
      </c>
      <c r="O6" s="45" t="s">
        <v>47</v>
      </c>
      <c r="P6" s="45" t="s">
        <v>47</v>
      </c>
      <c r="Q6" s="45" t="s">
        <v>47</v>
      </c>
      <c r="R6" s="45" t="s">
        <v>47</v>
      </c>
      <c r="S6" s="45" t="s">
        <v>47</v>
      </c>
      <c r="T6" s="45" t="s">
        <v>47</v>
      </c>
      <c r="U6" s="45" t="s">
        <v>47</v>
      </c>
      <c r="V6" s="50" t="s">
        <v>47</v>
      </c>
    </row>
    <row r="7" spans="2:22" s="2" customFormat="1" x14ac:dyDescent="0.25">
      <c r="B7" s="26" t="s">
        <v>48</v>
      </c>
      <c r="C7" s="31">
        <v>5.0000000000000001E-3</v>
      </c>
      <c r="D7" s="32">
        <v>5.0000000000000001E-3</v>
      </c>
      <c r="E7" s="33">
        <v>5.0000000000000001E-3</v>
      </c>
      <c r="F7" s="34">
        <v>6.0549999999999996E-3</v>
      </c>
      <c r="G7" s="32">
        <v>1.4870000000000001E-2</v>
      </c>
      <c r="H7" s="32">
        <v>1.5059650000000001E-2</v>
      </c>
      <c r="I7" s="33">
        <v>1.1994883333333333E-2</v>
      </c>
      <c r="J7" s="35">
        <v>6.9999999999999999E-4</v>
      </c>
      <c r="K7" s="31">
        <v>5.0000000000000001E-3</v>
      </c>
      <c r="L7" s="32">
        <v>5.0000000000000001E-3</v>
      </c>
      <c r="M7" s="32">
        <v>5.0000000000000001E-3</v>
      </c>
      <c r="N7" s="32">
        <v>5.0000000000000001E-3</v>
      </c>
      <c r="O7" s="32">
        <v>5.0000000000000001E-3</v>
      </c>
      <c r="P7" s="32">
        <v>5.0000000000000001E-3</v>
      </c>
      <c r="Q7" s="32">
        <v>5.0000000000000001E-3</v>
      </c>
      <c r="R7" s="32">
        <v>5.0000000000000001E-3</v>
      </c>
      <c r="S7" s="32">
        <v>5.0000000000000001E-3</v>
      </c>
      <c r="T7" s="32">
        <v>5.0000000000000001E-3</v>
      </c>
      <c r="U7" s="32">
        <v>5.0000000000000001E-3</v>
      </c>
      <c r="V7" s="36">
        <v>5.0000000000000001E-3</v>
      </c>
    </row>
    <row r="8" spans="2:22" s="2" customFormat="1" x14ac:dyDescent="0.25">
      <c r="B8" s="26" t="s">
        <v>49</v>
      </c>
      <c r="C8" s="31">
        <v>2.5000000000000001E-2</v>
      </c>
      <c r="D8" s="32">
        <v>2.5000000000000001E-2</v>
      </c>
      <c r="E8" s="33">
        <v>2.5000000000000001E-2</v>
      </c>
      <c r="F8" s="34">
        <v>1.5399999999999999E-3</v>
      </c>
      <c r="G8" s="32">
        <v>6.2899999999999998E-2</v>
      </c>
      <c r="H8" s="32">
        <v>0.10229814</v>
      </c>
      <c r="I8" s="33">
        <v>5.5579379999999991E-2</v>
      </c>
      <c r="J8" s="35">
        <v>1.37E-2</v>
      </c>
      <c r="K8" s="31">
        <v>2.5000000000000001E-2</v>
      </c>
      <c r="L8" s="32">
        <v>0.03</v>
      </c>
      <c r="M8" s="32">
        <v>0.03</v>
      </c>
      <c r="N8" s="32">
        <v>0.03</v>
      </c>
      <c r="O8" s="32">
        <v>0.03</v>
      </c>
      <c r="P8" s="32">
        <v>3.2000000000000001E-2</v>
      </c>
      <c r="Q8" s="32">
        <v>3.3000000000000002E-2</v>
      </c>
      <c r="R8" s="32">
        <v>3.3000000000000002E-2</v>
      </c>
      <c r="S8" s="32">
        <v>3.3000000000000002E-2</v>
      </c>
      <c r="T8" s="32">
        <v>3.4000000000000002E-2</v>
      </c>
      <c r="U8" s="32">
        <v>3.5000000000000003E-2</v>
      </c>
      <c r="V8" s="36">
        <v>3.4000000000000002E-2</v>
      </c>
    </row>
    <row r="9" spans="2:22" s="2" customFormat="1" x14ac:dyDescent="0.25">
      <c r="B9" s="26" t="s">
        <v>50</v>
      </c>
      <c r="C9" s="31">
        <v>0</v>
      </c>
      <c r="D9" s="32">
        <v>0</v>
      </c>
      <c r="E9" s="33">
        <v>0</v>
      </c>
      <c r="F9" s="34">
        <v>0</v>
      </c>
      <c r="G9" s="32">
        <v>0</v>
      </c>
      <c r="H9" s="32">
        <v>0</v>
      </c>
      <c r="I9" s="33">
        <v>0</v>
      </c>
      <c r="J9" s="35">
        <v>0</v>
      </c>
      <c r="K9" s="31">
        <v>0</v>
      </c>
      <c r="L9" s="32">
        <v>0</v>
      </c>
      <c r="M9" s="32">
        <v>0</v>
      </c>
      <c r="N9" s="32">
        <v>0</v>
      </c>
      <c r="O9" s="32">
        <v>0</v>
      </c>
      <c r="P9" s="32">
        <v>0</v>
      </c>
      <c r="Q9" s="32">
        <v>0</v>
      </c>
      <c r="R9" s="32">
        <v>0</v>
      </c>
      <c r="S9" s="32">
        <v>0</v>
      </c>
      <c r="T9" s="32">
        <v>0</v>
      </c>
      <c r="U9" s="32">
        <v>0</v>
      </c>
      <c r="V9" s="36">
        <v>0</v>
      </c>
    </row>
    <row r="10" spans="2:22" s="2" customFormat="1" x14ac:dyDescent="0.25">
      <c r="B10" s="26" t="s">
        <v>51</v>
      </c>
      <c r="C10" s="31">
        <v>0.87250000000000005</v>
      </c>
      <c r="D10" s="32">
        <v>0.877</v>
      </c>
      <c r="E10" s="33">
        <v>0.88100000000000001</v>
      </c>
      <c r="F10" s="34">
        <v>0.80165999999999993</v>
      </c>
      <c r="G10" s="32">
        <v>0.71806999999999999</v>
      </c>
      <c r="H10" s="32">
        <v>0.72533263999999997</v>
      </c>
      <c r="I10" s="33">
        <v>0.7483542133333333</v>
      </c>
      <c r="J10" s="35">
        <v>0.69399999999999995</v>
      </c>
      <c r="K10" s="31">
        <v>0.88470000000000004</v>
      </c>
      <c r="L10" s="32">
        <v>0.83199999999999996</v>
      </c>
      <c r="M10" s="32">
        <v>0.84130000000000005</v>
      </c>
      <c r="N10" s="32">
        <v>0.84350000000000003</v>
      </c>
      <c r="O10" s="32">
        <v>0.83199999999999996</v>
      </c>
      <c r="P10" s="32">
        <v>0.82</v>
      </c>
      <c r="Q10" s="32">
        <v>0.8</v>
      </c>
      <c r="R10" s="32">
        <v>0.79</v>
      </c>
      <c r="S10" s="32">
        <v>0.77500000000000002</v>
      </c>
      <c r="T10" s="32">
        <v>0.75</v>
      </c>
      <c r="U10" s="32">
        <v>0.73</v>
      </c>
      <c r="V10" s="36">
        <v>0.7</v>
      </c>
    </row>
    <row r="11" spans="2:22" s="2" customFormat="1" x14ac:dyDescent="0.25">
      <c r="B11" s="26" t="s">
        <v>52</v>
      </c>
      <c r="C11" s="31">
        <v>5.0999999999999997E-2</v>
      </c>
      <c r="D11" s="32">
        <v>5.2999999999999999E-2</v>
      </c>
      <c r="E11" s="33">
        <v>5.2999999999999999E-2</v>
      </c>
      <c r="F11" s="34">
        <v>0.11187999999999999</v>
      </c>
      <c r="G11" s="32">
        <v>0.11173</v>
      </c>
      <c r="H11" s="32">
        <v>8.7359570000000011E-2</v>
      </c>
      <c r="I11" s="33">
        <v>0.10365652333333332</v>
      </c>
      <c r="J11" s="35">
        <v>0.13550000000000001</v>
      </c>
      <c r="K11" s="31">
        <v>5.1999999999999998E-2</v>
      </c>
      <c r="L11" s="32">
        <v>7.1999999999999995E-2</v>
      </c>
      <c r="M11" s="32">
        <v>7.1999999999999995E-2</v>
      </c>
      <c r="N11" s="32">
        <v>7.1999999999999995E-2</v>
      </c>
      <c r="O11" s="32">
        <v>7.1999999999999995E-2</v>
      </c>
      <c r="P11" s="32">
        <v>7.51E-2</v>
      </c>
      <c r="Q11" s="32">
        <v>7.9299999999999995E-2</v>
      </c>
      <c r="R11" s="32">
        <v>8.3699999999999997E-2</v>
      </c>
      <c r="S11" s="32">
        <v>8.8999999999999996E-2</v>
      </c>
      <c r="T11" s="32">
        <v>9.6500000000000002E-2</v>
      </c>
      <c r="U11" s="32">
        <v>0.10249999999999999</v>
      </c>
      <c r="V11" s="36">
        <v>0.115</v>
      </c>
    </row>
    <row r="12" spans="2:22" s="2" customFormat="1" x14ac:dyDescent="0.25">
      <c r="B12" s="26" t="s">
        <v>53</v>
      </c>
      <c r="C12" s="31">
        <v>1.7999999999999999E-2</v>
      </c>
      <c r="D12" s="32">
        <v>1.9E-2</v>
      </c>
      <c r="E12" s="33">
        <v>1.8499999999999999E-2</v>
      </c>
      <c r="F12" s="34">
        <v>4.691E-2</v>
      </c>
      <c r="G12" s="32">
        <v>5.901E-2</v>
      </c>
      <c r="H12" s="32">
        <v>4.1512E-2</v>
      </c>
      <c r="I12" s="33">
        <v>4.9144E-2</v>
      </c>
      <c r="J12" s="35">
        <v>6.6400000000000001E-2</v>
      </c>
      <c r="K12" s="31">
        <v>1.8499999999999999E-2</v>
      </c>
      <c r="L12" s="32">
        <v>3.0200000000000001E-2</v>
      </c>
      <c r="M12" s="32">
        <v>3.0200000000000001E-2</v>
      </c>
      <c r="N12" s="32">
        <v>3.0200000000000001E-2</v>
      </c>
      <c r="O12" s="32">
        <v>3.0200000000000001E-2</v>
      </c>
      <c r="P12" s="32">
        <v>3.3000000000000002E-2</v>
      </c>
      <c r="Q12" s="32">
        <v>4.2000000000000003E-2</v>
      </c>
      <c r="R12" s="32">
        <v>4.4999999999999998E-2</v>
      </c>
      <c r="S12" s="32">
        <v>4.8500000000000001E-2</v>
      </c>
      <c r="T12" s="32">
        <v>5.6500000000000002E-2</v>
      </c>
      <c r="U12" s="32">
        <v>6.1199999999999997E-2</v>
      </c>
      <c r="V12" s="36">
        <v>6.5000000000000002E-2</v>
      </c>
    </row>
    <row r="13" spans="2:22" s="2" customFormat="1" x14ac:dyDescent="0.25">
      <c r="B13" s="26" t="s">
        <v>54</v>
      </c>
      <c r="C13" s="31">
        <v>4.0000000000000001E-3</v>
      </c>
      <c r="D13" s="32">
        <v>2E-3</v>
      </c>
      <c r="E13" s="33">
        <v>1.5E-3</v>
      </c>
      <c r="F13" s="34">
        <v>7.62E-3</v>
      </c>
      <c r="G13" s="32">
        <v>7.2199999999999999E-3</v>
      </c>
      <c r="H13" s="32">
        <v>4.5689299999999997E-3</v>
      </c>
      <c r="I13" s="33">
        <v>6.4696433333333329E-3</v>
      </c>
      <c r="J13" s="35">
        <v>1.5599999999999999E-2</v>
      </c>
      <c r="K13" s="31">
        <v>8.0000000000000004E-4</v>
      </c>
      <c r="L13" s="32">
        <v>3.5000000000000001E-3</v>
      </c>
      <c r="M13" s="32">
        <v>2.5000000000000001E-3</v>
      </c>
      <c r="N13" s="32">
        <v>2.5000000000000001E-3</v>
      </c>
      <c r="O13" s="32">
        <v>3.5000000000000001E-3</v>
      </c>
      <c r="P13" s="32">
        <v>4.1999999999999997E-3</v>
      </c>
      <c r="Q13" s="32">
        <v>4.4999999999999997E-3</v>
      </c>
      <c r="R13" s="32">
        <v>4.7000000000000002E-3</v>
      </c>
      <c r="S13" s="32">
        <v>6.0000000000000001E-3</v>
      </c>
      <c r="T13" s="32">
        <v>8.5000000000000006E-3</v>
      </c>
      <c r="U13" s="32">
        <v>9.4999999999999998E-3</v>
      </c>
      <c r="V13" s="36">
        <v>1.2500000000000001E-2</v>
      </c>
    </row>
    <row r="14" spans="2:22" s="2" customFormat="1" x14ac:dyDescent="0.25">
      <c r="B14" s="26" t="s">
        <v>55</v>
      </c>
      <c r="C14" s="31">
        <v>4.0000000000000001E-3</v>
      </c>
      <c r="D14" s="32">
        <v>3.0000000000000001E-3</v>
      </c>
      <c r="E14" s="33">
        <v>2.5000000000000001E-3</v>
      </c>
      <c r="F14" s="34">
        <v>1.4785E-2</v>
      </c>
      <c r="G14" s="32">
        <v>1.627E-2</v>
      </c>
      <c r="H14" s="32">
        <v>1.17862E-2</v>
      </c>
      <c r="I14" s="33">
        <v>1.4280399999999999E-2</v>
      </c>
      <c r="J14" s="35">
        <v>2.4199999999999999E-2</v>
      </c>
      <c r="K14" s="31">
        <v>1.5E-3</v>
      </c>
      <c r="L14" s="32">
        <v>6.0000000000000001E-3</v>
      </c>
      <c r="M14" s="32">
        <v>4.4999999999999997E-3</v>
      </c>
      <c r="N14" s="32">
        <v>3.5000000000000001E-3</v>
      </c>
      <c r="O14" s="32">
        <v>6.0000000000000001E-3</v>
      </c>
      <c r="P14" s="32">
        <v>6.7999999999999996E-3</v>
      </c>
      <c r="Q14" s="32">
        <v>1.0999999999999999E-2</v>
      </c>
      <c r="R14" s="32">
        <v>1.2E-2</v>
      </c>
      <c r="S14" s="32">
        <v>1.4999999999999999E-2</v>
      </c>
      <c r="T14" s="32">
        <v>1.8700000000000001E-2</v>
      </c>
      <c r="U14" s="32">
        <v>2.1000000000000001E-2</v>
      </c>
      <c r="V14" s="36">
        <v>2.53E-2</v>
      </c>
    </row>
    <row r="15" spans="2:22" s="2" customFormat="1" x14ac:dyDescent="0.25">
      <c r="B15" s="26" t="s">
        <v>56</v>
      </c>
      <c r="C15" s="31">
        <v>2.2000000000000001E-3</v>
      </c>
      <c r="D15" s="32">
        <v>1.1000000000000001E-3</v>
      </c>
      <c r="E15" s="33">
        <v>5.0000000000000001E-4</v>
      </c>
      <c r="F15" s="34">
        <v>3.4150000000000001E-3</v>
      </c>
      <c r="G15" s="32">
        <v>3.6099999999999999E-3</v>
      </c>
      <c r="H15" s="32">
        <v>2.9004799999999996E-3</v>
      </c>
      <c r="I15" s="33">
        <v>3.3084933333333336E-3</v>
      </c>
      <c r="J15" s="35">
        <v>8.5000000000000006E-3</v>
      </c>
      <c r="K15" s="31">
        <v>2.5000000000000001E-4</v>
      </c>
      <c r="L15" s="32">
        <v>1.8E-3</v>
      </c>
      <c r="M15" s="32">
        <v>5.0000000000000001E-4</v>
      </c>
      <c r="N15" s="32">
        <v>2.5000000000000001E-4</v>
      </c>
      <c r="O15" s="32">
        <v>1.8E-3</v>
      </c>
      <c r="P15" s="32">
        <v>2.5000000000000001E-3</v>
      </c>
      <c r="Q15" s="32">
        <v>2.5000000000000001E-3</v>
      </c>
      <c r="R15" s="32">
        <v>2.8E-3</v>
      </c>
      <c r="S15" s="32">
        <v>3.5000000000000001E-3</v>
      </c>
      <c r="T15" s="32">
        <v>4.0000000000000001E-3</v>
      </c>
      <c r="U15" s="32">
        <v>5.4999999999999997E-3</v>
      </c>
      <c r="V15" s="36">
        <v>7.0000000000000001E-3</v>
      </c>
    </row>
    <row r="16" spans="2:22" s="2" customFormat="1" x14ac:dyDescent="0.25">
      <c r="B16" s="26" t="s">
        <v>57</v>
      </c>
      <c r="C16" s="31">
        <v>4.0000000000000001E-3</v>
      </c>
      <c r="D16" s="32">
        <v>2E-3</v>
      </c>
      <c r="E16" s="33">
        <v>1E-3</v>
      </c>
      <c r="F16" s="34">
        <v>3.3799999999999998E-3</v>
      </c>
      <c r="G16" s="32">
        <v>3.5699999999999998E-3</v>
      </c>
      <c r="H16" s="32">
        <v>3.4351099999999999E-3</v>
      </c>
      <c r="I16" s="33">
        <v>3.4617033333333332E-3</v>
      </c>
      <c r="J16" s="35">
        <v>6.8999999999999999E-3</v>
      </c>
      <c r="K16" s="31">
        <v>5.0000000000000001E-4</v>
      </c>
      <c r="L16" s="32">
        <v>3.5000000000000001E-3</v>
      </c>
      <c r="M16" s="32">
        <v>1E-3</v>
      </c>
      <c r="N16" s="32">
        <v>5.0000000000000001E-4</v>
      </c>
      <c r="O16" s="32">
        <v>3.5000000000000001E-3</v>
      </c>
      <c r="P16" s="32">
        <v>4.0000000000000001E-3</v>
      </c>
      <c r="Q16" s="32">
        <v>5.7999999999999996E-3</v>
      </c>
      <c r="R16" s="32">
        <v>6.3200000000000001E-3</v>
      </c>
      <c r="S16" s="32">
        <v>7.4999999999999997E-3</v>
      </c>
      <c r="T16" s="32">
        <v>8.5000000000000006E-3</v>
      </c>
      <c r="U16" s="32">
        <v>1.0999999999999999E-2</v>
      </c>
      <c r="V16" s="36">
        <v>1.4999999999999999E-2</v>
      </c>
    </row>
    <row r="17" spans="2:22" s="2" customFormat="1" x14ac:dyDescent="0.25">
      <c r="B17" s="26" t="s">
        <v>14</v>
      </c>
      <c r="C17" s="31">
        <v>3.0000000000000001E-3</v>
      </c>
      <c r="D17" s="32">
        <v>1.5E-3</v>
      </c>
      <c r="E17" s="33">
        <v>5.0000000000000001E-4</v>
      </c>
      <c r="F17" s="34">
        <v>2.2100000000000002E-3</v>
      </c>
      <c r="G17" s="32">
        <v>2.1299999999999999E-3</v>
      </c>
      <c r="H17" s="32">
        <v>4.6914700000000925E-3</v>
      </c>
      <c r="I17" s="33">
        <v>3.0104900000000306E-3</v>
      </c>
      <c r="J17" s="35">
        <v>1.0999999999999999E-2</v>
      </c>
      <c r="K17" s="31">
        <v>2.5000000000000001E-4</v>
      </c>
      <c r="L17" s="32">
        <v>4.0000000000000001E-3</v>
      </c>
      <c r="M17" s="32">
        <v>1E-3</v>
      </c>
      <c r="N17" s="32">
        <v>5.0000000000000001E-4</v>
      </c>
      <c r="O17" s="32">
        <v>4.0000000000000001E-3</v>
      </c>
      <c r="P17" s="32">
        <v>5.0000000000000001E-3</v>
      </c>
      <c r="Q17" s="32">
        <v>4.4999999999999997E-3</v>
      </c>
      <c r="R17" s="32">
        <v>4.7000000000000002E-3</v>
      </c>
      <c r="S17" s="32">
        <v>4.7000000000000002E-3</v>
      </c>
      <c r="T17" s="32">
        <v>5.4999999999999997E-3</v>
      </c>
      <c r="U17" s="32">
        <v>6.4999999999999997E-3</v>
      </c>
      <c r="V17" s="36">
        <v>8.0000000000000002E-3</v>
      </c>
    </row>
    <row r="18" spans="2:22" s="2" customFormat="1" x14ac:dyDescent="0.25">
      <c r="B18" s="26" t="s">
        <v>58</v>
      </c>
      <c r="C18" s="31">
        <v>3.7500000000000001E-4</v>
      </c>
      <c r="D18" s="32">
        <v>3.7500000000000001E-4</v>
      </c>
      <c r="E18" s="33">
        <v>3.7500000000000001E-4</v>
      </c>
      <c r="F18" s="34">
        <v>4.15E-4</v>
      </c>
      <c r="G18" s="32">
        <v>4.0999999999999999E-4</v>
      </c>
      <c r="H18" s="32">
        <v>5.7092999999999998E-4</v>
      </c>
      <c r="I18" s="33">
        <v>4.9864333333333327E-4</v>
      </c>
      <c r="J18" s="35">
        <v>5.0000000000000001E-4</v>
      </c>
      <c r="K18" s="31">
        <v>3.7500000000000001E-4</v>
      </c>
      <c r="L18" s="32">
        <v>5.0000000000000001E-4</v>
      </c>
      <c r="M18" s="32">
        <v>5.0000000000000001E-4</v>
      </c>
      <c r="N18" s="32">
        <v>5.0000000000000001E-4</v>
      </c>
      <c r="O18" s="32">
        <v>5.0000000000000001E-4</v>
      </c>
      <c r="P18" s="32">
        <v>5.9999999999999995E-4</v>
      </c>
      <c r="Q18" s="32">
        <v>5.9999999999999995E-4</v>
      </c>
      <c r="R18" s="32">
        <v>6.9999999999999999E-4</v>
      </c>
      <c r="S18" s="32">
        <v>6.9999999999999999E-4</v>
      </c>
      <c r="T18" s="32">
        <v>6.9999999999999999E-4</v>
      </c>
      <c r="U18" s="32">
        <v>6.9999999999999999E-4</v>
      </c>
      <c r="V18" s="36">
        <v>8.0000000000000004E-4</v>
      </c>
    </row>
    <row r="19" spans="2:22" s="2" customFormat="1" x14ac:dyDescent="0.25">
      <c r="B19" s="26" t="s">
        <v>59</v>
      </c>
      <c r="C19" s="31">
        <v>3.7500000000000001E-4</v>
      </c>
      <c r="D19" s="32">
        <v>3.7500000000000001E-4</v>
      </c>
      <c r="E19" s="33">
        <v>3.7500000000000001E-4</v>
      </c>
      <c r="F19" s="34">
        <v>1.2E-4</v>
      </c>
      <c r="G19" s="32">
        <v>5.1000000000000004E-4</v>
      </c>
      <c r="H19" s="32">
        <v>3.9833999999999996E-4</v>
      </c>
      <c r="I19" s="33">
        <v>2.0944666666666668E-4</v>
      </c>
      <c r="J19" s="35">
        <v>5.0000000000000001E-4</v>
      </c>
      <c r="K19" s="31">
        <v>3.7500000000000001E-4</v>
      </c>
      <c r="L19" s="32">
        <v>5.0000000000000001E-4</v>
      </c>
      <c r="M19" s="32">
        <v>5.0000000000000001E-4</v>
      </c>
      <c r="N19" s="32">
        <v>5.0000000000000001E-4</v>
      </c>
      <c r="O19" s="32">
        <v>5.0000000000000001E-4</v>
      </c>
      <c r="P19" s="32">
        <v>5.9999999999999995E-4</v>
      </c>
      <c r="Q19" s="32">
        <v>5.9999999999999995E-4</v>
      </c>
      <c r="R19" s="32">
        <v>6.9999999999999999E-4</v>
      </c>
      <c r="S19" s="32">
        <v>6.9999999999999999E-4</v>
      </c>
      <c r="T19" s="32">
        <v>6.9999999999999999E-4</v>
      </c>
      <c r="U19" s="32">
        <v>6.9999999999999999E-4</v>
      </c>
      <c r="V19" s="36">
        <v>8.0000000000000004E-4</v>
      </c>
    </row>
    <row r="20" spans="2:22" s="2" customFormat="1" x14ac:dyDescent="0.25">
      <c r="B20" s="26" t="s">
        <v>60</v>
      </c>
      <c r="C20" s="31">
        <v>3.7500000000000001E-4</v>
      </c>
      <c r="D20" s="32">
        <v>3.7500000000000001E-4</v>
      </c>
      <c r="E20" s="33">
        <v>3.7500000000000001E-4</v>
      </c>
      <c r="F20" s="34">
        <v>0</v>
      </c>
      <c r="G20" s="32">
        <v>1.0999999999999999E-4</v>
      </c>
      <c r="H20" s="32">
        <v>2.19E-5</v>
      </c>
      <c r="I20" s="33">
        <v>7.3000000000000004E-6</v>
      </c>
      <c r="J20" s="35">
        <v>5.0000000000000001E-4</v>
      </c>
      <c r="K20" s="31">
        <v>3.7500000000000001E-4</v>
      </c>
      <c r="L20" s="32">
        <v>5.0000000000000001E-4</v>
      </c>
      <c r="M20" s="32">
        <v>5.0000000000000001E-4</v>
      </c>
      <c r="N20" s="32">
        <v>5.0000000000000001E-4</v>
      </c>
      <c r="O20" s="32">
        <v>5.0000000000000001E-4</v>
      </c>
      <c r="P20" s="32">
        <v>5.9999999999999995E-4</v>
      </c>
      <c r="Q20" s="32">
        <v>5.9999999999999995E-4</v>
      </c>
      <c r="R20" s="32">
        <v>6.9999999999999999E-4</v>
      </c>
      <c r="S20" s="32">
        <v>6.9999999999999999E-4</v>
      </c>
      <c r="T20" s="32">
        <v>6.9999999999999999E-4</v>
      </c>
      <c r="U20" s="32">
        <v>6.9999999999999999E-4</v>
      </c>
      <c r="V20" s="36">
        <v>8.0000000000000004E-4</v>
      </c>
    </row>
    <row r="21" spans="2:22" s="2" customFormat="1" x14ac:dyDescent="0.25">
      <c r="B21" s="26" t="s">
        <v>61</v>
      </c>
      <c r="C21" s="31">
        <v>3.7500000000000001E-4</v>
      </c>
      <c r="D21" s="32">
        <v>3.7500000000000001E-4</v>
      </c>
      <c r="E21" s="33">
        <v>3.7500000000000001E-4</v>
      </c>
      <c r="F21" s="34">
        <v>1.0000000000000001E-5</v>
      </c>
      <c r="G21" s="32">
        <v>0</v>
      </c>
      <c r="H21" s="32">
        <v>6.4639999999999991E-5</v>
      </c>
      <c r="I21" s="33">
        <v>2.4879999999999996E-5</v>
      </c>
      <c r="J21" s="35">
        <v>5.0000000000000001E-4</v>
      </c>
      <c r="K21" s="31">
        <v>3.7500000000000001E-4</v>
      </c>
      <c r="L21" s="32">
        <v>5.0000000000000001E-4</v>
      </c>
      <c r="M21" s="32">
        <v>5.0000000000000001E-4</v>
      </c>
      <c r="N21" s="32">
        <v>5.0000000000000001E-4</v>
      </c>
      <c r="O21" s="32">
        <v>5.0000000000000001E-4</v>
      </c>
      <c r="P21" s="32">
        <v>5.9999999999999995E-4</v>
      </c>
      <c r="Q21" s="32">
        <v>5.9999999999999995E-4</v>
      </c>
      <c r="R21" s="32">
        <v>6.9999999999999999E-4</v>
      </c>
      <c r="S21" s="32">
        <v>6.9999999999999999E-4</v>
      </c>
      <c r="T21" s="32">
        <v>6.9999999999999999E-4</v>
      </c>
      <c r="U21" s="32">
        <v>6.9999999999999999E-4</v>
      </c>
      <c r="V21" s="36">
        <v>8.0000000000000004E-4</v>
      </c>
    </row>
    <row r="22" spans="2:22" s="2" customFormat="1" x14ac:dyDescent="0.25">
      <c r="B22" s="26" t="s">
        <v>62</v>
      </c>
      <c r="C22" s="31">
        <v>0.01</v>
      </c>
      <c r="D22" s="32">
        <v>0.01</v>
      </c>
      <c r="E22" s="33">
        <v>0.01</v>
      </c>
      <c r="F22" s="34">
        <v>1.0000000000000001E-5</v>
      </c>
      <c r="G22" s="32">
        <v>0</v>
      </c>
      <c r="H22" s="32">
        <v>6.4639999999999991E-5</v>
      </c>
      <c r="I22" s="33">
        <v>2.4879999999999996E-5</v>
      </c>
      <c r="J22" s="35">
        <v>2.1499999999999998E-2</v>
      </c>
      <c r="K22" s="31">
        <v>0.01</v>
      </c>
      <c r="L22" s="32">
        <v>0.01</v>
      </c>
      <c r="M22" s="32">
        <v>0.01</v>
      </c>
      <c r="N22" s="32">
        <v>0.01</v>
      </c>
      <c r="O22" s="32">
        <v>0.01</v>
      </c>
      <c r="P22" s="32">
        <v>0.01</v>
      </c>
      <c r="Q22" s="32">
        <v>0.01</v>
      </c>
      <c r="R22" s="32">
        <v>0.01</v>
      </c>
      <c r="S22" s="32">
        <v>0.01</v>
      </c>
      <c r="T22" s="32">
        <v>0.01</v>
      </c>
      <c r="U22" s="32">
        <v>0.01</v>
      </c>
      <c r="V22" s="36">
        <v>0.01</v>
      </c>
    </row>
    <row r="23" spans="2:22" s="2" customFormat="1" x14ac:dyDescent="0.25">
      <c r="B23" s="26" t="s">
        <v>63</v>
      </c>
      <c r="C23" s="31">
        <f>SUM(C7:C22)</f>
        <v>1.0002000000000002</v>
      </c>
      <c r="D23" s="32">
        <f>SUM(D7:D22)</f>
        <v>1.0001</v>
      </c>
      <c r="E23" s="33">
        <f>SUM(E7:E22)</f>
        <v>0.99999999999999989</v>
      </c>
      <c r="F23" s="34">
        <f>SUM(F7:F22)</f>
        <v>1.0000100000000001</v>
      </c>
      <c r="G23" s="32">
        <f t="shared" ref="G23:V23" si="0">SUM(G7:G22)</f>
        <v>1.00041</v>
      </c>
      <c r="H23" s="32">
        <f t="shared" si="0"/>
        <v>1.0000646400000002</v>
      </c>
      <c r="I23" s="33">
        <f t="shared" si="0"/>
        <v>1.0000248799999998</v>
      </c>
      <c r="J23" s="35">
        <f t="shared" si="0"/>
        <v>0.99999999999999956</v>
      </c>
      <c r="K23" s="31">
        <f t="shared" si="0"/>
        <v>1</v>
      </c>
      <c r="L23" s="32">
        <f t="shared" si="0"/>
        <v>0.99999999999999967</v>
      </c>
      <c r="M23" s="32">
        <f t="shared" si="0"/>
        <v>0.99999999999999967</v>
      </c>
      <c r="N23" s="32">
        <f t="shared" si="0"/>
        <v>0.99994999999999956</v>
      </c>
      <c r="O23" s="32">
        <f t="shared" si="0"/>
        <v>0.99999999999999967</v>
      </c>
      <c r="P23" s="32">
        <f t="shared" si="0"/>
        <v>1</v>
      </c>
      <c r="Q23" s="32">
        <f t="shared" si="0"/>
        <v>1.0000000000000002</v>
      </c>
      <c r="R23" s="32">
        <f t="shared" si="0"/>
        <v>1.0000200000000004</v>
      </c>
      <c r="S23" s="32">
        <f t="shared" si="0"/>
        <v>1</v>
      </c>
      <c r="T23" s="32">
        <f t="shared" si="0"/>
        <v>1</v>
      </c>
      <c r="U23" s="32">
        <f t="shared" si="0"/>
        <v>1</v>
      </c>
      <c r="V23" s="36">
        <f t="shared" si="0"/>
        <v>1</v>
      </c>
    </row>
    <row r="24" spans="2:22" s="2" customFormat="1" ht="7.5" customHeight="1" x14ac:dyDescent="0.25">
      <c r="B24" s="37"/>
      <c r="F24" s="72"/>
      <c r="G24" s="71"/>
      <c r="H24" s="71"/>
      <c r="I24" s="74"/>
      <c r="J24" s="38"/>
      <c r="K24" s="75"/>
      <c r="L24" s="71"/>
      <c r="M24" s="71"/>
      <c r="N24" s="71"/>
      <c r="O24" s="71"/>
      <c r="P24" s="71"/>
      <c r="Q24" s="71"/>
      <c r="R24" s="71"/>
      <c r="S24" s="71"/>
      <c r="T24" s="71"/>
      <c r="U24" s="71"/>
      <c r="V24" s="73"/>
    </row>
    <row r="25" spans="2:22" s="2" customFormat="1" x14ac:dyDescent="0.25">
      <c r="B25" s="26" t="s">
        <v>64</v>
      </c>
      <c r="C25" s="39">
        <v>1089</v>
      </c>
      <c r="D25" s="40">
        <v>1070</v>
      </c>
      <c r="E25" s="41">
        <v>1058</v>
      </c>
      <c r="F25" s="42">
        <v>1238</v>
      </c>
      <c r="G25" s="40">
        <v>1188</v>
      </c>
      <c r="H25" s="40">
        <v>1095</v>
      </c>
      <c r="I25" s="41">
        <v>1173.6666666666667</v>
      </c>
      <c r="J25" s="26">
        <v>1361</v>
      </c>
      <c r="K25" s="39">
        <v>1051</v>
      </c>
      <c r="L25" s="40">
        <v>1124</v>
      </c>
      <c r="M25" s="40">
        <v>1096</v>
      </c>
      <c r="N25" s="40">
        <v>1089</v>
      </c>
      <c r="O25" s="40">
        <v>1124</v>
      </c>
      <c r="P25" s="40">
        <v>1141</v>
      </c>
      <c r="Q25" s="40">
        <v>1170</v>
      </c>
      <c r="R25" s="40">
        <v>1185</v>
      </c>
      <c r="S25" s="40">
        <v>1210</v>
      </c>
      <c r="T25" s="40">
        <v>1248</v>
      </c>
      <c r="U25" s="40">
        <v>1282</v>
      </c>
      <c r="V25" s="43">
        <v>1338</v>
      </c>
    </row>
    <row r="26" spans="2:22" s="2" customFormat="1" x14ac:dyDescent="0.25">
      <c r="B26" s="26" t="s">
        <v>65</v>
      </c>
      <c r="C26" s="44">
        <v>2.54</v>
      </c>
      <c r="D26" s="45">
        <v>2.35</v>
      </c>
      <c r="E26" s="30">
        <v>2.2000000000000002</v>
      </c>
      <c r="F26" s="46">
        <v>5.4</v>
      </c>
      <c r="G26" s="47">
        <v>5.8</v>
      </c>
      <c r="H26" s="47">
        <v>4.5</v>
      </c>
      <c r="I26" s="48">
        <v>5.2333333333333334</v>
      </c>
      <c r="J26" s="26">
        <v>7.9</v>
      </c>
      <c r="K26" s="44">
        <v>2.09</v>
      </c>
      <c r="L26" s="45">
        <v>3.5</v>
      </c>
      <c r="M26" s="45">
        <v>3.18</v>
      </c>
      <c r="N26" s="45">
        <v>3.1</v>
      </c>
      <c r="O26" s="45">
        <v>3.52</v>
      </c>
      <c r="P26" s="45">
        <v>3.83</v>
      </c>
      <c r="Q26" s="45">
        <v>4.3</v>
      </c>
      <c r="R26" s="45">
        <v>4.67</v>
      </c>
      <c r="S26" s="45">
        <v>5.1100000000000003</v>
      </c>
      <c r="T26" s="45">
        <v>5.82</v>
      </c>
      <c r="U26" s="45">
        <v>6.4</v>
      </c>
      <c r="V26" s="50">
        <v>7.4</v>
      </c>
    </row>
    <row r="27" spans="2:22" s="2" customFormat="1" hidden="1" x14ac:dyDescent="0.25">
      <c r="B27" s="26" t="s">
        <v>66</v>
      </c>
      <c r="C27" s="44">
        <v>0.13780000000000001</v>
      </c>
      <c r="D27" s="45">
        <v>6.7000000000000004E-2</v>
      </c>
      <c r="E27" s="30">
        <v>2.1999999999999999E-2</v>
      </c>
      <c r="F27" s="49">
        <v>0.38296161400957246</v>
      </c>
      <c r="G27" s="45">
        <v>0.38296161400957246</v>
      </c>
      <c r="H27" s="40">
        <v>56</v>
      </c>
      <c r="I27" s="41">
        <v>51</v>
      </c>
      <c r="J27" s="26"/>
      <c r="K27" s="44">
        <v>0.01</v>
      </c>
      <c r="L27" s="45">
        <v>0.186</v>
      </c>
      <c r="M27" s="45">
        <v>4.3999999999999997E-2</v>
      </c>
      <c r="N27" s="45">
        <v>0.02</v>
      </c>
      <c r="O27" s="45">
        <v>0.18634857951064596</v>
      </c>
      <c r="P27" s="45">
        <v>0.23504573203097967</v>
      </c>
      <c r="Q27" s="45">
        <v>0.20951821879464613</v>
      </c>
      <c r="R27" s="45">
        <v>0.21921942604391789</v>
      </c>
      <c r="S27" s="45">
        <v>0.2198504415823897</v>
      </c>
      <c r="T27" s="45">
        <v>0.25852085190178015</v>
      </c>
      <c r="U27" s="45">
        <v>0.30815194460183049</v>
      </c>
      <c r="V27" s="50">
        <v>0.38296161400957246</v>
      </c>
    </row>
    <row r="28" spans="2:22" s="2" customFormat="1" x14ac:dyDescent="0.25">
      <c r="B28" s="65" t="s">
        <v>68</v>
      </c>
      <c r="C28" s="66"/>
      <c r="D28" s="67"/>
      <c r="E28" s="68"/>
      <c r="F28" s="34">
        <f>F15+F16</f>
        <v>6.7949999999999998E-3</v>
      </c>
      <c r="G28" s="32">
        <f t="shared" ref="G28:V28" si="1">G15+G16</f>
        <v>7.1799999999999998E-3</v>
      </c>
      <c r="H28" s="32">
        <f t="shared" si="1"/>
        <v>6.3355899999999995E-3</v>
      </c>
      <c r="I28" s="33">
        <f t="shared" si="1"/>
        <v>6.7701966666666672E-3</v>
      </c>
      <c r="J28" s="35">
        <f t="shared" si="1"/>
        <v>1.54E-2</v>
      </c>
      <c r="K28" s="31">
        <f t="shared" si="1"/>
        <v>7.5000000000000002E-4</v>
      </c>
      <c r="L28" s="32">
        <f t="shared" si="1"/>
        <v>5.3E-3</v>
      </c>
      <c r="M28" s="32">
        <f t="shared" si="1"/>
        <v>1.5E-3</v>
      </c>
      <c r="N28" s="32">
        <f t="shared" si="1"/>
        <v>7.5000000000000002E-4</v>
      </c>
      <c r="O28" s="32">
        <f t="shared" si="1"/>
        <v>5.3E-3</v>
      </c>
      <c r="P28" s="32">
        <f t="shared" si="1"/>
        <v>6.5000000000000006E-3</v>
      </c>
      <c r="Q28" s="32">
        <f t="shared" si="1"/>
        <v>8.3000000000000001E-3</v>
      </c>
      <c r="R28" s="32">
        <f t="shared" si="1"/>
        <v>9.1199999999999996E-3</v>
      </c>
      <c r="S28" s="32">
        <f t="shared" si="1"/>
        <v>1.0999999999999999E-2</v>
      </c>
      <c r="T28" s="32">
        <f t="shared" si="1"/>
        <v>1.2500000000000001E-2</v>
      </c>
      <c r="U28" s="32">
        <f t="shared" si="1"/>
        <v>1.6500000000000001E-2</v>
      </c>
      <c r="V28" s="36">
        <f t="shared" si="1"/>
        <v>2.1999999999999999E-2</v>
      </c>
    </row>
    <row r="29" spans="2:22" s="2" customFormat="1" ht="15.75" thickBot="1" x14ac:dyDescent="0.3">
      <c r="B29" s="51" t="s">
        <v>67</v>
      </c>
      <c r="C29" s="52"/>
      <c r="D29" s="53"/>
      <c r="E29" s="54"/>
      <c r="F29" s="55">
        <f>SUM(F17:F21)</f>
        <v>2.7550000000000001E-3</v>
      </c>
      <c r="G29" s="56">
        <f t="shared" ref="G29:V29" si="2">SUM(G17:G21)</f>
        <v>3.1599999999999996E-3</v>
      </c>
      <c r="H29" s="56">
        <f t="shared" si="2"/>
        <v>5.7472800000000924E-3</v>
      </c>
      <c r="I29" s="57">
        <f t="shared" si="2"/>
        <v>3.7507600000000305E-3</v>
      </c>
      <c r="J29" s="58">
        <f t="shared" si="2"/>
        <v>1.3000000000000001E-2</v>
      </c>
      <c r="K29" s="76">
        <f t="shared" si="2"/>
        <v>1.7499999999999998E-3</v>
      </c>
      <c r="L29" s="56">
        <f t="shared" si="2"/>
        <v>6.0000000000000019E-3</v>
      </c>
      <c r="M29" s="56">
        <f t="shared" si="2"/>
        <v>3.0000000000000001E-3</v>
      </c>
      <c r="N29" s="56">
        <f t="shared" si="2"/>
        <v>2.5000000000000001E-3</v>
      </c>
      <c r="O29" s="56">
        <f t="shared" si="2"/>
        <v>6.0000000000000019E-3</v>
      </c>
      <c r="P29" s="56">
        <f t="shared" si="2"/>
        <v>7.3999999999999995E-3</v>
      </c>
      <c r="Q29" s="56">
        <f t="shared" si="2"/>
        <v>6.899999999999999E-3</v>
      </c>
      <c r="R29" s="56">
        <f t="shared" si="2"/>
        <v>7.5000000000000006E-3</v>
      </c>
      <c r="S29" s="56">
        <f t="shared" si="2"/>
        <v>7.5000000000000006E-3</v>
      </c>
      <c r="T29" s="56">
        <f t="shared" si="2"/>
        <v>8.3000000000000001E-3</v>
      </c>
      <c r="U29" s="56">
        <f t="shared" si="2"/>
        <v>9.2999999999999975E-3</v>
      </c>
      <c r="V29" s="59">
        <f t="shared" si="2"/>
        <v>1.1200000000000002E-2</v>
      </c>
    </row>
    <row r="30" spans="2:22" s="2" customFormat="1" ht="15.75" hidden="1" thickBot="1" x14ac:dyDescent="0.3">
      <c r="B30" s="60" t="s">
        <v>19</v>
      </c>
      <c r="C30" s="27">
        <v>60.18</v>
      </c>
      <c r="D30" s="28">
        <v>43</v>
      </c>
      <c r="E30" s="29">
        <v>-1</v>
      </c>
      <c r="F30" s="61" t="e">
        <f>#REF!</f>
        <v>#REF!</v>
      </c>
      <c r="G30" s="62" t="e">
        <f>#REF!</f>
        <v>#REF!</v>
      </c>
      <c r="H30" s="62" t="e">
        <f>#REF!</f>
        <v>#REF!</v>
      </c>
      <c r="I30" s="63" t="e">
        <f>#REF!</f>
        <v>#REF!</v>
      </c>
      <c r="K30" s="61">
        <v>-21</v>
      </c>
      <c r="L30" s="62">
        <v>97</v>
      </c>
      <c r="M30" s="62">
        <v>27</v>
      </c>
      <c r="N30" s="62">
        <v>-2</v>
      </c>
      <c r="O30" s="62">
        <v>97.85800443193898</v>
      </c>
      <c r="P30" s="62">
        <v>209.82802014808647</v>
      </c>
      <c r="Q30" s="62">
        <v>139.05051441259081</v>
      </c>
      <c r="R30" s="62">
        <v>162.4765814102002</v>
      </c>
      <c r="S30" s="62">
        <v>164.14116535139624</v>
      </c>
      <c r="T30" s="62">
        <v>303.92794140716649</v>
      </c>
      <c r="U30" s="62">
        <v>618.15730291645332</v>
      </c>
      <c r="V30" s="64">
        <v>1479.0568269966434</v>
      </c>
    </row>
  </sheetData>
  <pageMargins left="0.2" right="0.2" top="0.75" bottom="0.75" header="0.3" footer="0.3"/>
  <pageSetup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B27C-60CD-4A95-8C2D-5F16CD6D5D55}">
  <sheetPr codeName="Sheet14">
    <tabColor theme="6" tint="0.39997558519241921"/>
  </sheetPr>
  <dimension ref="A1:O258"/>
  <sheetViews>
    <sheetView showGridLines="0" zoomScale="98" zoomScaleNormal="98" workbookViewId="0">
      <selection activeCell="O17" sqref="O17"/>
    </sheetView>
  </sheetViews>
  <sheetFormatPr defaultRowHeight="15" x14ac:dyDescent="0.25"/>
  <cols>
    <col min="2" max="2" width="11.85546875" customWidth="1"/>
    <col min="3" max="3" width="9.5703125" style="94" customWidth="1"/>
    <col min="4" max="4" width="13" style="94" customWidth="1"/>
    <col min="5" max="5" width="12.28515625" style="94" customWidth="1"/>
    <col min="6" max="6" width="11.7109375" style="94" customWidth="1"/>
    <col min="7" max="7" width="12.28515625" style="94" customWidth="1"/>
    <col min="8" max="8" width="9.42578125" style="94" bestFit="1" customWidth="1"/>
    <col min="9" max="9" width="11.85546875" style="94" customWidth="1"/>
    <col min="10" max="10" width="8.7109375" style="94" customWidth="1"/>
    <col min="11" max="11" width="11.42578125" customWidth="1"/>
    <col min="12" max="13" width="12" bestFit="1" customWidth="1"/>
  </cols>
  <sheetData>
    <row r="1" spans="1:10" ht="26.25" x14ac:dyDescent="0.4">
      <c r="B1" s="100" t="s">
        <v>123</v>
      </c>
    </row>
    <row r="2" spans="1:10" x14ac:dyDescent="0.25">
      <c r="B2" s="3" t="s">
        <v>124</v>
      </c>
    </row>
    <row r="3" spans="1:10" x14ac:dyDescent="0.25">
      <c r="A3" s="3"/>
    </row>
    <row r="4" spans="1:10" x14ac:dyDescent="0.25">
      <c r="A4" s="3"/>
      <c r="B4" s="101">
        <v>100</v>
      </c>
      <c r="C4" s="102" t="s">
        <v>125</v>
      </c>
      <c r="H4" s="140" t="s">
        <v>2</v>
      </c>
      <c r="I4" s="141"/>
      <c r="J4" s="142"/>
    </row>
    <row r="5" spans="1:10" x14ac:dyDescent="0.25">
      <c r="A5" s="3"/>
      <c r="B5" s="101">
        <v>80</v>
      </c>
      <c r="C5" s="102" t="s">
        <v>126</v>
      </c>
      <c r="H5" s="136" t="s">
        <v>127</v>
      </c>
      <c r="I5" s="137"/>
      <c r="J5" s="137"/>
    </row>
    <row r="6" spans="1:10" x14ac:dyDescent="0.25">
      <c r="A6" s="3"/>
      <c r="B6" s="101">
        <v>400</v>
      </c>
      <c r="C6" s="102" t="s">
        <v>128</v>
      </c>
    </row>
    <row r="7" spans="1:10" x14ac:dyDescent="0.25">
      <c r="A7" s="3"/>
      <c r="B7" s="143">
        <v>1</v>
      </c>
      <c r="C7" s="102" t="s">
        <v>129</v>
      </c>
    </row>
    <row r="8" spans="1:10" x14ac:dyDescent="0.25">
      <c r="A8" s="3"/>
      <c r="B8" s="4"/>
      <c r="C8" s="102" t="s">
        <v>289</v>
      </c>
    </row>
    <row r="9" spans="1:10" x14ac:dyDescent="0.25">
      <c r="A9" s="3"/>
      <c r="B9" s="4"/>
      <c r="C9" s="102"/>
    </row>
    <row r="10" spans="1:10" ht="45" customHeight="1" x14ac:dyDescent="0.25">
      <c r="A10" s="103"/>
      <c r="B10" s="103"/>
      <c r="C10" s="104" t="s">
        <v>130</v>
      </c>
      <c r="D10" s="104" t="s">
        <v>131</v>
      </c>
      <c r="E10" s="104" t="s">
        <v>132</v>
      </c>
      <c r="F10" s="104" t="s">
        <v>133</v>
      </c>
      <c r="G10" s="104" t="s">
        <v>134</v>
      </c>
      <c r="H10" s="104" t="s">
        <v>135</v>
      </c>
      <c r="I10" s="104" t="s">
        <v>136</v>
      </c>
      <c r="J10" s="104" t="s">
        <v>137</v>
      </c>
    </row>
    <row r="11" spans="1:10" x14ac:dyDescent="0.25">
      <c r="A11">
        <v>1</v>
      </c>
      <c r="B11" s="4" t="s">
        <v>102</v>
      </c>
      <c r="C11" s="105">
        <f>IF($B$7=1,L65,K65)</f>
        <v>31.185550082643761</v>
      </c>
      <c r="D11" s="106">
        <f>E11*$B$4</f>
        <v>1.1994883333333333</v>
      </c>
      <c r="E11" s="107">
        <f>Compositions!I7</f>
        <v>1.1994883333333333E-2</v>
      </c>
      <c r="F11" s="94">
        <f>E11*(C11-1)/(1+mL*(C11-1))</f>
        <v>1.1658414527350168E-2</v>
      </c>
      <c r="G11" s="108">
        <f t="shared" ref="G11:G22" si="0">I11*(1-mL)*$D$23</f>
        <v>1.6483475100186515E-4</v>
      </c>
      <c r="H11" s="78">
        <f>D11-G11</f>
        <v>1.1993234985823313</v>
      </c>
      <c r="I11" s="108">
        <f>E11/(1-mL+mL*C11)</f>
        <v>3.8622501479784467E-4</v>
      </c>
      <c r="J11" s="108">
        <f>I11*C11</f>
        <v>1.2044639542148013E-2</v>
      </c>
    </row>
    <row r="12" spans="1:10" x14ac:dyDescent="0.25">
      <c r="A12">
        <v>2</v>
      </c>
      <c r="B12" s="4" t="s">
        <v>103</v>
      </c>
      <c r="C12" s="105">
        <f t="shared" ref="C12:C22" si="1">IF($B$7=1,L66,K66)</f>
        <v>2.4318351114292978</v>
      </c>
      <c r="D12" s="106">
        <f t="shared" ref="D12:D22" si="2">E12*$B$4</f>
        <v>5.5579379999999992</v>
      </c>
      <c r="E12" s="107">
        <f>Compositions!I8</f>
        <v>5.5579379999999991E-2</v>
      </c>
      <c r="F12" s="94">
        <f>E12*(C12-1)/(1+mL*(C12-1))</f>
        <v>3.2806905813333724E-2</v>
      </c>
      <c r="G12" s="108">
        <f t="shared" si="0"/>
        <v>9.7786891715339313E-3</v>
      </c>
      <c r="H12" s="78">
        <f>D12-G12</f>
        <v>5.5481593108284653</v>
      </c>
      <c r="I12" s="108">
        <f t="shared" ref="I12:I22" si="3">E12/(1-mL+mL*C12)</f>
        <v>2.2912488701708787E-2</v>
      </c>
      <c r="J12" s="108">
        <f>I12*C12</f>
        <v>5.5719394515042514E-2</v>
      </c>
    </row>
    <row r="13" spans="1:10" x14ac:dyDescent="0.25">
      <c r="A13">
        <v>3</v>
      </c>
      <c r="B13" s="94" t="s">
        <v>104</v>
      </c>
      <c r="C13" s="105">
        <f t="shared" si="1"/>
        <v>0.5988857456049046</v>
      </c>
      <c r="D13" s="106">
        <f t="shared" si="2"/>
        <v>0</v>
      </c>
      <c r="E13" s="107">
        <f>Compositions!I9</f>
        <v>0</v>
      </c>
      <c r="F13" s="94">
        <f>E13*(C13-1)/(1+mL*(C13-1))</f>
        <v>0</v>
      </c>
      <c r="G13" s="108">
        <f t="shared" si="0"/>
        <v>0</v>
      </c>
      <c r="H13" s="78">
        <f>D13-G13</f>
        <v>0</v>
      </c>
      <c r="I13" s="108">
        <f t="shared" si="3"/>
        <v>0</v>
      </c>
      <c r="J13" s="108">
        <f>I13*C13</f>
        <v>0</v>
      </c>
    </row>
    <row r="14" spans="1:10" x14ac:dyDescent="0.25">
      <c r="A14">
        <v>4</v>
      </c>
      <c r="B14" s="4" t="s">
        <v>138</v>
      </c>
      <c r="C14" s="105">
        <f t="shared" si="1"/>
        <v>12.040021228796981</v>
      </c>
      <c r="D14" s="106">
        <f t="shared" si="2"/>
        <v>74.835421333333329</v>
      </c>
      <c r="E14" s="107">
        <f>Compositions!I10</f>
        <v>0.7483542133333333</v>
      </c>
      <c r="F14" s="94">
        <f t="shared" ref="F14:F22" si="4">E14*(C14-1)/(1+mL*(C14-1))</f>
        <v>0.6888945537480794</v>
      </c>
      <c r="G14" s="108">
        <f t="shared" si="0"/>
        <v>2.663122971492821E-2</v>
      </c>
      <c r="H14" s="78">
        <f t="shared" ref="H14:H22" si="5">D14-G14</f>
        <v>74.808790103618406</v>
      </c>
      <c r="I14" s="108">
        <f t="shared" si="3"/>
        <v>6.2399749010550364E-2</v>
      </c>
      <c r="J14" s="108">
        <f t="shared" ref="J14:J22" si="6">I14*C14</f>
        <v>0.75129430275862974</v>
      </c>
    </row>
    <row r="15" spans="1:10" x14ac:dyDescent="0.25">
      <c r="A15">
        <v>5</v>
      </c>
      <c r="B15" s="4" t="s">
        <v>139</v>
      </c>
      <c r="C15" s="105">
        <f t="shared" si="1"/>
        <v>1.584809335663548</v>
      </c>
      <c r="D15" s="106">
        <f t="shared" si="2"/>
        <v>10.365652333333331</v>
      </c>
      <c r="E15" s="107">
        <f>Compositions!I11</f>
        <v>0.10365652333333332</v>
      </c>
      <c r="F15" s="94">
        <f t="shared" si="4"/>
        <v>3.8310552169760044E-2</v>
      </c>
      <c r="G15" s="108">
        <f t="shared" si="0"/>
        <v>2.7958411490047984E-2</v>
      </c>
      <c r="H15" s="78">
        <f t="shared" si="5"/>
        <v>10.337693921843284</v>
      </c>
      <c r="I15" s="108">
        <f t="shared" si="3"/>
        <v>6.550947434225099E-2</v>
      </c>
      <c r="J15" s="108">
        <f t="shared" si="6"/>
        <v>0.10382002651201103</v>
      </c>
    </row>
    <row r="16" spans="1:10" x14ac:dyDescent="0.25">
      <c r="A16">
        <v>6</v>
      </c>
      <c r="B16" s="4" t="s">
        <v>140</v>
      </c>
      <c r="C16" s="105">
        <f t="shared" si="1"/>
        <v>0.36274394912664226</v>
      </c>
      <c r="D16" s="106">
        <f t="shared" si="2"/>
        <v>4.9143999999999997</v>
      </c>
      <c r="E16" s="107">
        <f>Compositions!I12</f>
        <v>4.9144E-2</v>
      </c>
      <c r="F16" s="94">
        <f t="shared" si="4"/>
        <v>-8.5691999829879337E-2</v>
      </c>
      <c r="G16" s="108">
        <f t="shared" si="0"/>
        <v>5.7389796965686503E-2</v>
      </c>
      <c r="H16" s="78">
        <f t="shared" si="5"/>
        <v>4.8570102030343127</v>
      </c>
      <c r="I16" s="108">
        <f t="shared" si="3"/>
        <v>0.13447028037229095</v>
      </c>
      <c r="J16" s="108">
        <f t="shared" si="6"/>
        <v>4.877828054241163E-2</v>
      </c>
    </row>
    <row r="17" spans="1:15" x14ac:dyDescent="0.25">
      <c r="A17">
        <v>7</v>
      </c>
      <c r="B17" s="4" t="s">
        <v>141</v>
      </c>
      <c r="C17" s="105">
        <f t="shared" si="1"/>
        <v>0.13297739597108574</v>
      </c>
      <c r="D17" s="106">
        <f t="shared" si="2"/>
        <v>0.64696433333333325</v>
      </c>
      <c r="E17" s="107">
        <f>Compositions!I13</f>
        <v>6.4696433333333329E-3</v>
      </c>
      <c r="F17" s="94">
        <f t="shared" si="4"/>
        <v>-4.1040540850420401E-2</v>
      </c>
      <c r="G17" s="108">
        <f t="shared" si="0"/>
        <v>2.0201844939049283E-2</v>
      </c>
      <c r="H17" s="78">
        <f t="shared" si="5"/>
        <v>0.62676248839428395</v>
      </c>
      <c r="I17" s="108">
        <f t="shared" si="3"/>
        <v>4.7335029859327339E-2</v>
      </c>
      <c r="J17" s="108">
        <f t="shared" si="6"/>
        <v>6.294489008906938E-3</v>
      </c>
    </row>
    <row r="18" spans="1:15" x14ac:dyDescent="0.25">
      <c r="A18">
        <v>8</v>
      </c>
      <c r="B18" s="4" t="s">
        <v>142</v>
      </c>
      <c r="C18" s="105">
        <f t="shared" si="1"/>
        <v>9.2988915472967892E-2</v>
      </c>
      <c r="D18" s="106">
        <f t="shared" si="2"/>
        <v>1.4280399999999998</v>
      </c>
      <c r="E18" s="107">
        <f>Compositions!I14</f>
        <v>1.4280399999999999E-2</v>
      </c>
      <c r="F18" s="94">
        <f t="shared" si="4"/>
        <v>-0.13372388723783779</v>
      </c>
      <c r="G18" s="108">
        <f t="shared" si="0"/>
        <v>6.2922327091229135E-2</v>
      </c>
      <c r="H18" s="78">
        <f t="shared" si="5"/>
        <v>1.3651176729087706</v>
      </c>
      <c r="I18" s="108">
        <f t="shared" si="3"/>
        <v>0.1474335755307436</v>
      </c>
      <c r="J18" s="108">
        <f t="shared" si="6"/>
        <v>1.3709688292905744E-2</v>
      </c>
    </row>
    <row r="19" spans="1:15" x14ac:dyDescent="0.25">
      <c r="A19">
        <v>9</v>
      </c>
      <c r="B19" s="4" t="s">
        <v>143</v>
      </c>
      <c r="C19" s="105">
        <f t="shared" si="1"/>
        <v>3.6505915377973493E-2</v>
      </c>
      <c r="D19" s="106">
        <f t="shared" si="2"/>
        <v>0.33084933333333338</v>
      </c>
      <c r="E19" s="107">
        <f>Compositions!I15</f>
        <v>3.3084933333333336E-3</v>
      </c>
      <c r="F19" s="94">
        <f t="shared" si="4"/>
        <v>-7.8480418070536434E-2</v>
      </c>
      <c r="G19" s="108">
        <f t="shared" si="0"/>
        <v>3.4763270931574983E-2</v>
      </c>
      <c r="H19" s="78">
        <f t="shared" si="5"/>
        <v>0.29608606240175839</v>
      </c>
      <c r="I19" s="108">
        <f t="shared" si="3"/>
        <v>8.1453969799227033E-2</v>
      </c>
      <c r="J19" s="108">
        <f t="shared" si="6"/>
        <v>2.9735517286905906E-3</v>
      </c>
    </row>
    <row r="20" spans="1:15" x14ac:dyDescent="0.25">
      <c r="A20">
        <v>10</v>
      </c>
      <c r="B20" s="4" t="s">
        <v>144</v>
      </c>
      <c r="C20" s="105">
        <f t="shared" si="1"/>
        <v>2.700327060979809E-2</v>
      </c>
      <c r="D20" s="106">
        <f t="shared" si="2"/>
        <v>0.3461703333333333</v>
      </c>
      <c r="E20" s="107">
        <f>Compositions!I16</f>
        <v>3.4617033333333332E-3</v>
      </c>
      <c r="F20" s="94">
        <f t="shared" si="4"/>
        <v>-0.10810890266754193</v>
      </c>
      <c r="G20" s="108">
        <f t="shared" si="0"/>
        <v>4.7419662280717714E-2</v>
      </c>
      <c r="H20" s="78">
        <f t="shared" si="5"/>
        <v>0.2987506710526156</v>
      </c>
      <c r="I20" s="108">
        <f t="shared" si="3"/>
        <v>0.11110921486375019</v>
      </c>
      <c r="J20" s="108">
        <f t="shared" si="6"/>
        <v>3.0003121962080465E-3</v>
      </c>
    </row>
    <row r="21" spans="1:15" x14ac:dyDescent="0.25">
      <c r="A21">
        <v>11</v>
      </c>
      <c r="B21" s="4" t="s">
        <v>14</v>
      </c>
      <c r="C21" s="105">
        <f t="shared" si="1"/>
        <v>8.690957740970803E-3</v>
      </c>
      <c r="D21" s="106">
        <f t="shared" si="2"/>
        <v>0.35104900000000305</v>
      </c>
      <c r="E21" s="107">
        <f>Compositions!I17+Compositions!J18</f>
        <v>3.5104900000000306E-3</v>
      </c>
      <c r="F21" s="94">
        <f t="shared" si="4"/>
        <v>-0.26931283999444633</v>
      </c>
      <c r="G21" s="108">
        <f t="shared" si="0"/>
        <v>0.11594616002664876</v>
      </c>
      <c r="H21" s="78">
        <f t="shared" si="5"/>
        <v>0.23510283997335429</v>
      </c>
      <c r="I21" s="108">
        <f t="shared" si="3"/>
        <v>0.27167394678528056</v>
      </c>
      <c r="J21" s="108">
        <f t="shared" si="6"/>
        <v>2.3611067908336242E-3</v>
      </c>
    </row>
    <row r="22" spans="1:15" ht="15.75" thickBot="1" x14ac:dyDescent="0.3">
      <c r="A22">
        <v>12</v>
      </c>
      <c r="B22" s="4" t="s">
        <v>111</v>
      </c>
      <c r="C22" s="105">
        <f t="shared" si="1"/>
        <v>1.0059728180518306E-4</v>
      </c>
      <c r="D22" s="106">
        <f t="shared" si="2"/>
        <v>2.4162666666666666E-2</v>
      </c>
      <c r="E22" s="107">
        <f>Compositions!I19+Compositions!I20+Compositions!I21</f>
        <v>2.4162666666666666E-4</v>
      </c>
      <c r="F22" s="94">
        <f t="shared" si="4"/>
        <v>-5.5311837278676335E-2</v>
      </c>
      <c r="G22" s="108">
        <f t="shared" si="0"/>
        <v>2.3608595624577407E-2</v>
      </c>
      <c r="H22" s="78">
        <f t="shared" si="5"/>
        <v>5.5407104208925889E-4</v>
      </c>
      <c r="I22" s="108">
        <f t="shared" si="3"/>
        <v>5.531740205896004E-2</v>
      </c>
      <c r="J22" s="108">
        <f t="shared" si="6"/>
        <v>5.5647802836558163E-6</v>
      </c>
    </row>
    <row r="23" spans="1:15" ht="15.75" thickBot="1" x14ac:dyDescent="0.3">
      <c r="B23" s="109" t="s">
        <v>145</v>
      </c>
      <c r="C23" s="110"/>
      <c r="D23" s="111">
        <f t="shared" ref="D23:J23" si="7">SUM(D11:D22)</f>
        <v>100.00013566666665</v>
      </c>
      <c r="E23" s="112">
        <f t="shared" si="7"/>
        <v>1.0000013566666666</v>
      </c>
      <c r="F23" s="110">
        <f t="shared" si="7"/>
        <v>3.2918484604849141E-10</v>
      </c>
      <c r="G23" s="113">
        <f t="shared" si="7"/>
        <v>0.42678482298699577</v>
      </c>
      <c r="H23" s="114">
        <f t="shared" si="7"/>
        <v>99.573350843679648</v>
      </c>
      <c r="I23" s="113">
        <f t="shared" si="7"/>
        <v>1.0000013563388879</v>
      </c>
      <c r="J23" s="115">
        <f t="shared" si="7"/>
        <v>1.0000013566680717</v>
      </c>
    </row>
    <row r="24" spans="1:15" x14ac:dyDescent="0.25">
      <c r="C24"/>
    </row>
    <row r="26" spans="1:15" ht="45" x14ac:dyDescent="0.25">
      <c r="E26" s="138" t="s">
        <v>146</v>
      </c>
      <c r="F26" s="139">
        <v>0.99573216334880243</v>
      </c>
      <c r="G26" s="164" t="s">
        <v>147</v>
      </c>
      <c r="H26" s="164"/>
      <c r="I26" s="164"/>
      <c r="N26" s="116"/>
      <c r="O26" s="116"/>
    </row>
    <row r="27" spans="1:15" x14ac:dyDescent="0.25">
      <c r="N27" s="116"/>
      <c r="O27" s="116"/>
    </row>
    <row r="28" spans="1:15" ht="15" customHeight="1" x14ac:dyDescent="0.25">
      <c r="N28" s="116"/>
      <c r="O28" s="116"/>
    </row>
    <row r="30" spans="1:15" x14ac:dyDescent="0.25">
      <c r="B30" s="117" t="s">
        <v>148</v>
      </c>
    </row>
    <row r="33" spans="1:15" s="94" customFormat="1" ht="16.5" x14ac:dyDescent="0.25">
      <c r="A33" s="118"/>
      <c r="B33"/>
      <c r="D33" s="119" t="s">
        <v>149</v>
      </c>
      <c r="K33"/>
      <c r="L33"/>
      <c r="M33"/>
      <c r="N33"/>
      <c r="O33"/>
    </row>
    <row r="34" spans="1:15" s="94" customFormat="1" x14ac:dyDescent="0.25">
      <c r="A34" s="118"/>
      <c r="B34"/>
      <c r="D34" s="120" t="s">
        <v>150</v>
      </c>
      <c r="K34"/>
      <c r="L34"/>
      <c r="M34"/>
      <c r="N34"/>
      <c r="O34"/>
    </row>
    <row r="36" spans="1:15" s="94" customFormat="1" x14ac:dyDescent="0.25">
      <c r="A36"/>
      <c r="B36"/>
      <c r="D36" s="102" t="s">
        <v>151</v>
      </c>
      <c r="F36" s="94" t="s">
        <v>152</v>
      </c>
      <c r="K36"/>
      <c r="L36"/>
      <c r="M36"/>
      <c r="N36"/>
      <c r="O36"/>
    </row>
    <row r="37" spans="1:15" s="94" customFormat="1" x14ac:dyDescent="0.25">
      <c r="A37"/>
      <c r="B37"/>
      <c r="D37" s="102" t="s">
        <v>153</v>
      </c>
      <c r="K37"/>
      <c r="L37"/>
      <c r="M37"/>
      <c r="N37"/>
      <c r="O37"/>
    </row>
    <row r="40" spans="1:15" ht="21" x14ac:dyDescent="0.35">
      <c r="D40" s="121" t="s">
        <v>154</v>
      </c>
      <c r="E40"/>
      <c r="F40"/>
      <c r="G40"/>
      <c r="H40"/>
      <c r="I40"/>
      <c r="J40"/>
    </row>
    <row r="41" spans="1:15" x14ac:dyDescent="0.25">
      <c r="D41"/>
      <c r="E41" t="s">
        <v>155</v>
      </c>
      <c r="F41"/>
      <c r="G41"/>
      <c r="H41"/>
      <c r="I41"/>
      <c r="J41"/>
    </row>
    <row r="42" spans="1:15" x14ac:dyDescent="0.25">
      <c r="D42"/>
      <c r="E42"/>
      <c r="F42"/>
      <c r="G42"/>
      <c r="H42"/>
      <c r="I42"/>
      <c r="J42"/>
    </row>
    <row r="43" spans="1:15" x14ac:dyDescent="0.25">
      <c r="C43" s="123"/>
      <c r="D43" s="124" t="s">
        <v>156</v>
      </c>
      <c r="E43" s="125"/>
      <c r="F43" s="125"/>
      <c r="G43" s="125"/>
      <c r="H43" s="125"/>
      <c r="I43" s="125"/>
      <c r="J43"/>
      <c r="K43" s="144" t="s">
        <v>157</v>
      </c>
      <c r="L43" s="145"/>
      <c r="M43" s="145"/>
      <c r="N43" s="145"/>
      <c r="O43" s="145"/>
    </row>
    <row r="44" spans="1:15" x14ac:dyDescent="0.25">
      <c r="C44" s="123"/>
      <c r="D44" s="125"/>
      <c r="E44" s="125"/>
      <c r="F44" s="125"/>
      <c r="G44" s="125"/>
      <c r="H44" s="125"/>
      <c r="I44" s="125"/>
      <c r="J44"/>
      <c r="K44" s="145"/>
      <c r="L44" s="145"/>
      <c r="M44" s="145"/>
      <c r="N44" s="145"/>
      <c r="O44" s="145"/>
    </row>
    <row r="45" spans="1:15" ht="18" x14ac:dyDescent="0.35">
      <c r="C45" s="123"/>
      <c r="D45" s="126" t="s">
        <v>158</v>
      </c>
      <c r="E45" s="125"/>
      <c r="F45" s="125"/>
      <c r="G45" s="125"/>
      <c r="H45" s="125"/>
      <c r="I45" s="125"/>
      <c r="J45"/>
      <c r="K45" s="146" t="s">
        <v>159</v>
      </c>
      <c r="L45" s="145"/>
      <c r="M45" s="145"/>
      <c r="N45" s="145"/>
      <c r="O45" s="145"/>
    </row>
    <row r="46" spans="1:15" x14ac:dyDescent="0.25">
      <c r="C46" s="123"/>
      <c r="D46" s="126"/>
      <c r="E46" s="125"/>
      <c r="F46" s="125"/>
      <c r="G46" s="125"/>
      <c r="H46" s="125"/>
      <c r="I46" s="125"/>
      <c r="J46"/>
      <c r="K46" s="146"/>
      <c r="L46" s="145"/>
      <c r="M46" s="145"/>
      <c r="N46" s="145"/>
      <c r="O46" s="145"/>
    </row>
    <row r="47" spans="1:15" ht="18" x14ac:dyDescent="0.35">
      <c r="C47" s="123"/>
      <c r="D47" s="126" t="s">
        <v>160</v>
      </c>
      <c r="E47" s="125"/>
      <c r="F47" s="125"/>
      <c r="G47" s="125"/>
      <c r="H47" s="125"/>
      <c r="I47" s="125"/>
      <c r="J47"/>
      <c r="K47" s="146" t="s">
        <v>161</v>
      </c>
      <c r="L47" s="145"/>
      <c r="M47" s="145"/>
      <c r="N47" s="145"/>
      <c r="O47" s="145"/>
    </row>
    <row r="48" spans="1:15" x14ac:dyDescent="0.25">
      <c r="C48" s="127">
        <f>B5+460</f>
        <v>540</v>
      </c>
      <c r="D48" s="126" t="s">
        <v>162</v>
      </c>
      <c r="E48" s="125"/>
      <c r="F48" s="125"/>
      <c r="G48" s="125"/>
      <c r="H48" s="125"/>
      <c r="I48" s="125"/>
      <c r="J48"/>
      <c r="K48" s="146" t="s">
        <v>162</v>
      </c>
      <c r="L48" s="145"/>
      <c r="M48" s="145"/>
      <c r="N48" s="145"/>
      <c r="O48" s="145"/>
    </row>
    <row r="49" spans="3:15" ht="18" x14ac:dyDescent="0.35">
      <c r="C49" s="123"/>
      <c r="D49" s="126" t="s">
        <v>163</v>
      </c>
      <c r="E49" s="125"/>
      <c r="F49" s="125"/>
      <c r="G49" s="125"/>
      <c r="H49" s="125"/>
      <c r="I49" s="125"/>
      <c r="J49"/>
      <c r="K49" s="146" t="s">
        <v>163</v>
      </c>
      <c r="L49" s="145"/>
      <c r="M49" s="145"/>
      <c r="N49" s="145"/>
      <c r="O49" s="145"/>
    </row>
    <row r="50" spans="3:15" x14ac:dyDescent="0.25">
      <c r="C50" s="127">
        <f>B6</f>
        <v>400</v>
      </c>
      <c r="D50" s="126" t="s">
        <v>164</v>
      </c>
      <c r="E50" s="125"/>
      <c r="F50" s="125"/>
      <c r="G50" s="125"/>
      <c r="H50" s="125"/>
      <c r="I50" s="125"/>
      <c r="J50"/>
      <c r="K50" s="146" t="s">
        <v>165</v>
      </c>
      <c r="L50" s="145"/>
      <c r="M50" s="145"/>
      <c r="N50" s="145"/>
      <c r="O50" s="145"/>
    </row>
    <row r="51" spans="3:15" ht="18" x14ac:dyDescent="0.35">
      <c r="C51" s="123"/>
      <c r="D51" s="126" t="s">
        <v>166</v>
      </c>
      <c r="E51" s="125"/>
      <c r="F51" s="125"/>
      <c r="G51" s="125"/>
      <c r="H51" s="125"/>
      <c r="I51" s="125"/>
      <c r="J51"/>
      <c r="K51" s="146" t="s">
        <v>166</v>
      </c>
      <c r="L51" s="145"/>
      <c r="M51" s="145"/>
      <c r="N51" s="145"/>
      <c r="O51" s="145"/>
    </row>
    <row r="52" spans="3:15" ht="18" x14ac:dyDescent="0.35">
      <c r="C52" s="123"/>
      <c r="D52" s="126" t="s">
        <v>167</v>
      </c>
      <c r="E52" s="125"/>
      <c r="F52" s="125"/>
      <c r="G52" s="125"/>
      <c r="H52" s="125"/>
      <c r="I52" s="125"/>
      <c r="J52"/>
    </row>
    <row r="53" spans="3:15" x14ac:dyDescent="0.25">
      <c r="C53" s="123"/>
      <c r="D53" s="126" t="s">
        <v>168</v>
      </c>
      <c r="E53" s="125"/>
      <c r="F53" s="125"/>
      <c r="G53" s="125"/>
      <c r="H53" s="125"/>
      <c r="I53" s="125"/>
      <c r="J53"/>
    </row>
    <row r="54" spans="3:15" x14ac:dyDescent="0.25">
      <c r="C54" s="123"/>
      <c r="D54" s="126"/>
      <c r="E54" s="125"/>
      <c r="F54" s="125"/>
      <c r="G54" s="125"/>
      <c r="H54" s="125"/>
      <c r="I54" s="125"/>
      <c r="J54"/>
    </row>
    <row r="55" spans="3:15" x14ac:dyDescent="0.25">
      <c r="C55" s="123">
        <f>1.2+0.00045*C50+(15*(10^-8))*C50^2</f>
        <v>1.4039999999999999</v>
      </c>
      <c r="D55" s="126" t="s">
        <v>169</v>
      </c>
      <c r="E55" s="125"/>
      <c r="F55" s="125"/>
      <c r="G55" s="125"/>
      <c r="H55" s="125"/>
      <c r="I55" s="125"/>
      <c r="J55"/>
    </row>
    <row r="56" spans="3:15" x14ac:dyDescent="0.25">
      <c r="C56" s="123">
        <f>0.89-0.00017*C50-3.5*(10^-8)*C50^2</f>
        <v>0.81640000000000001</v>
      </c>
      <c r="D56" s="126" t="s">
        <v>170</v>
      </c>
      <c r="E56" s="125"/>
      <c r="F56" s="125"/>
      <c r="G56" s="125"/>
      <c r="H56" s="125"/>
      <c r="I56" s="125"/>
      <c r="J56"/>
    </row>
    <row r="57" spans="3:15" x14ac:dyDescent="0.25">
      <c r="C57" s="123">
        <f>7.3+0.0075*(C48-460)+0.0016*C50</f>
        <v>8.5399999999999991</v>
      </c>
      <c r="D57" s="126" t="s">
        <v>171</v>
      </c>
      <c r="E57" s="125"/>
      <c r="F57" s="125"/>
      <c r="G57" s="125"/>
      <c r="H57" s="125"/>
      <c r="I57" s="125"/>
      <c r="J57"/>
    </row>
    <row r="58" spans="3:15" x14ac:dyDescent="0.25">
      <c r="C58" s="123">
        <f>1013+324*C57-4.256*C57^2</f>
        <v>3469.5631103999995</v>
      </c>
      <c r="D58" s="126" t="s">
        <v>172</v>
      </c>
      <c r="E58" s="125"/>
      <c r="F58" s="125"/>
      <c r="G58" s="125"/>
      <c r="H58" s="125"/>
      <c r="I58" s="125"/>
      <c r="J58"/>
    </row>
    <row r="59" spans="3:15" ht="18" x14ac:dyDescent="0.35">
      <c r="C59" s="123">
        <f>301+59.85*C57-0.971*C57^2</f>
        <v>741.30241639999997</v>
      </c>
      <c r="D59" s="126" t="s">
        <v>173</v>
      </c>
      <c r="E59" s="125"/>
      <c r="F59" s="125"/>
      <c r="G59" s="125"/>
      <c r="H59" s="125"/>
      <c r="I59" s="125"/>
      <c r="J59"/>
    </row>
    <row r="60" spans="3:15" x14ac:dyDescent="0.25">
      <c r="D60"/>
      <c r="E60"/>
      <c r="F60"/>
      <c r="G60"/>
      <c r="H60"/>
      <c r="I60"/>
      <c r="J60"/>
    </row>
    <row r="61" spans="3:15" x14ac:dyDescent="0.25">
      <c r="D61"/>
      <c r="E61" t="s">
        <v>174</v>
      </c>
      <c r="F61"/>
      <c r="G61"/>
      <c r="H61"/>
      <c r="I61"/>
      <c r="J61"/>
    </row>
    <row r="62" spans="3:15" x14ac:dyDescent="0.25">
      <c r="D62"/>
      <c r="E62"/>
      <c r="F62"/>
      <c r="G62"/>
      <c r="H62"/>
      <c r="I62"/>
      <c r="J62"/>
    </row>
    <row r="63" spans="3:15" x14ac:dyDescent="0.25">
      <c r="D63" s="128"/>
      <c r="E63" s="128"/>
      <c r="F63" s="128"/>
      <c r="G63" s="128"/>
      <c r="H63" s="128"/>
      <c r="I63" s="128"/>
      <c r="J63" s="128"/>
      <c r="K63" s="129" t="s">
        <v>175</v>
      </c>
      <c r="L63" s="129" t="s">
        <v>176</v>
      </c>
    </row>
    <row r="64" spans="3:15" ht="18" x14ac:dyDescent="0.25">
      <c r="D64" s="130" t="s">
        <v>46</v>
      </c>
      <c r="E64" s="130" t="s">
        <v>177</v>
      </c>
      <c r="F64" s="130" t="s">
        <v>178</v>
      </c>
      <c r="G64" s="130" t="s">
        <v>179</v>
      </c>
      <c r="H64" s="130" t="s">
        <v>180</v>
      </c>
      <c r="I64" s="130" t="s">
        <v>181</v>
      </c>
      <c r="J64" s="130" t="s">
        <v>182</v>
      </c>
      <c r="K64" s="130" t="s">
        <v>183</v>
      </c>
      <c r="L64" s="130" t="s">
        <v>183</v>
      </c>
    </row>
    <row r="65" spans="4:12" x14ac:dyDescent="0.25">
      <c r="D65" s="131" t="s">
        <v>102</v>
      </c>
      <c r="E65" s="132">
        <f>C167</f>
        <v>493</v>
      </c>
      <c r="F65" s="132">
        <f>D167</f>
        <v>227.6</v>
      </c>
      <c r="G65" s="133">
        <f>E167</f>
        <v>0.04</v>
      </c>
      <c r="H65" s="131">
        <f>C104</f>
        <v>470</v>
      </c>
      <c r="I65" s="134">
        <f>D104</f>
        <v>109</v>
      </c>
      <c r="J65" s="133">
        <f>H65*(1/I65-1/($C$48))</f>
        <v>3.4415562351342168</v>
      </c>
      <c r="K65" s="133">
        <f>(1/C50)*10^(C55+C56*J65)</f>
        <v>40.89088584355234</v>
      </c>
      <c r="L65" s="133">
        <f>E65/$C$50*EXP(5.37*(1+G65)*(1-F65/$C$48))</f>
        <v>31.185550082643761</v>
      </c>
    </row>
    <row r="66" spans="4:12" x14ac:dyDescent="0.25">
      <c r="D66" s="131" t="s">
        <v>103</v>
      </c>
      <c r="E66" s="132">
        <f>C166</f>
        <v>1071</v>
      </c>
      <c r="F66" s="132">
        <f>D166</f>
        <v>547.9</v>
      </c>
      <c r="G66" s="133">
        <f>E166</f>
        <v>0.22500000000000001</v>
      </c>
      <c r="H66" s="131">
        <f t="shared" ref="H66:I75" si="8">C105</f>
        <v>652</v>
      </c>
      <c r="I66" s="134">
        <f t="shared" si="8"/>
        <v>194</v>
      </c>
      <c r="J66" s="133">
        <f t="shared" ref="J66:J76" si="9">H66*(1/I66-1/($C$48))</f>
        <v>2.1534173348606336</v>
      </c>
      <c r="K66" s="133">
        <f t="shared" ref="K66:K76" si="10">1/$C$50*10^($C$55+$C$56*J66)</f>
        <v>3.6306962851777</v>
      </c>
      <c r="L66" s="133">
        <f t="shared" ref="L66:L76" si="11">E66/$C$50*EXP(5.37*(1+G66)*(1-F66/$C$48))</f>
        <v>2.4318351114292978</v>
      </c>
    </row>
    <row r="67" spans="4:12" x14ac:dyDescent="0.25">
      <c r="D67" s="131" t="s">
        <v>104</v>
      </c>
      <c r="E67" s="132">
        <v>1036</v>
      </c>
      <c r="F67" s="132">
        <v>672.6</v>
      </c>
      <c r="G67" s="133">
        <v>0.1105</v>
      </c>
      <c r="H67" s="131">
        <f t="shared" si="8"/>
        <v>1136</v>
      </c>
      <c r="I67" s="134">
        <f t="shared" si="8"/>
        <v>331</v>
      </c>
      <c r="J67" s="133">
        <f t="shared" si="9"/>
        <v>1.3283204654805862</v>
      </c>
      <c r="K67" s="133">
        <f t="shared" si="10"/>
        <v>0.76980519340957421</v>
      </c>
      <c r="L67" s="133">
        <f t="shared" si="11"/>
        <v>0.5988857456049046</v>
      </c>
    </row>
    <row r="68" spans="4:12" x14ac:dyDescent="0.25">
      <c r="D68" s="131" t="s">
        <v>138</v>
      </c>
      <c r="E68" s="132">
        <f>C168</f>
        <v>667.8</v>
      </c>
      <c r="F68" s="132">
        <f>D168</f>
        <v>343.37</v>
      </c>
      <c r="G68" s="133">
        <f>E168</f>
        <v>1.04E-2</v>
      </c>
      <c r="H68" s="131">
        <f t="shared" si="8"/>
        <v>300</v>
      </c>
      <c r="I68" s="134">
        <f t="shared" si="8"/>
        <v>94</v>
      </c>
      <c r="J68" s="133">
        <f t="shared" si="9"/>
        <v>2.6359338061465718</v>
      </c>
      <c r="K68" s="133">
        <f t="shared" si="10"/>
        <v>8.9932438216174457</v>
      </c>
      <c r="L68" s="133">
        <f t="shared" si="11"/>
        <v>12.040021228796981</v>
      </c>
    </row>
    <row r="69" spans="4:12" x14ac:dyDescent="0.25">
      <c r="D69" s="131" t="s">
        <v>184</v>
      </c>
      <c r="E69" s="132">
        <f t="shared" ref="E69:G76" si="12">C169</f>
        <v>707.8</v>
      </c>
      <c r="F69" s="132">
        <f t="shared" si="12"/>
        <v>550.09</v>
      </c>
      <c r="G69" s="133">
        <f t="shared" si="12"/>
        <v>9.8599999999999993E-2</v>
      </c>
      <c r="H69" s="131">
        <f t="shared" si="8"/>
        <v>1145</v>
      </c>
      <c r="I69" s="134">
        <f t="shared" si="8"/>
        <v>303</v>
      </c>
      <c r="J69" s="133">
        <f t="shared" si="9"/>
        <v>1.6585075174184085</v>
      </c>
      <c r="K69" s="133">
        <f t="shared" si="10"/>
        <v>1.4320083353415052</v>
      </c>
      <c r="L69" s="133">
        <f t="shared" si="11"/>
        <v>1.584809335663548</v>
      </c>
    </row>
    <row r="70" spans="4:12" x14ac:dyDescent="0.25">
      <c r="D70" s="131" t="s">
        <v>140</v>
      </c>
      <c r="E70" s="132">
        <f t="shared" si="12"/>
        <v>616.29999999999995</v>
      </c>
      <c r="F70" s="132">
        <f t="shared" si="12"/>
        <v>666.01</v>
      </c>
      <c r="G70" s="133">
        <f t="shared" si="12"/>
        <v>0.1542</v>
      </c>
      <c r="H70" s="131">
        <f t="shared" si="8"/>
        <v>1799</v>
      </c>
      <c r="I70" s="134">
        <f t="shared" si="8"/>
        <v>416</v>
      </c>
      <c r="J70" s="133">
        <f t="shared" si="9"/>
        <v>0.99303774928774935</v>
      </c>
      <c r="K70" s="133">
        <f t="shared" si="10"/>
        <v>0.40987933902743173</v>
      </c>
      <c r="L70" s="133">
        <f t="shared" si="11"/>
        <v>0.36274394912664226</v>
      </c>
    </row>
    <row r="71" spans="4:12" x14ac:dyDescent="0.25">
      <c r="D71" s="131" t="s">
        <v>141</v>
      </c>
      <c r="E71" s="132">
        <f t="shared" si="12"/>
        <v>529.1</v>
      </c>
      <c r="F71" s="132">
        <f t="shared" si="12"/>
        <v>734.98</v>
      </c>
      <c r="G71" s="133">
        <f t="shared" si="12"/>
        <v>0.18479999999999999</v>
      </c>
      <c r="H71" s="131">
        <f t="shared" si="8"/>
        <v>2037</v>
      </c>
      <c r="I71" s="134">
        <f t="shared" si="8"/>
        <v>471</v>
      </c>
      <c r="J71" s="133">
        <f t="shared" si="9"/>
        <v>0.55261854210898775</v>
      </c>
      <c r="K71" s="133">
        <f t="shared" si="10"/>
        <v>0.1791009075146365</v>
      </c>
      <c r="L71" s="133">
        <f t="shared" si="11"/>
        <v>0.13297739597108574</v>
      </c>
    </row>
    <row r="72" spans="4:12" x14ac:dyDescent="0.25">
      <c r="D72" s="131" t="s">
        <v>142</v>
      </c>
      <c r="E72" s="132">
        <f t="shared" si="12"/>
        <v>550.70000000000005</v>
      </c>
      <c r="F72" s="132">
        <f t="shared" si="12"/>
        <v>765.65</v>
      </c>
      <c r="G72" s="133">
        <f t="shared" si="12"/>
        <v>0.20100000000000001</v>
      </c>
      <c r="H72" s="131">
        <f t="shared" si="8"/>
        <v>2153</v>
      </c>
      <c r="I72" s="134">
        <f t="shared" si="8"/>
        <v>491</v>
      </c>
      <c r="J72" s="133">
        <f t="shared" si="9"/>
        <v>0.39789167986723939</v>
      </c>
      <c r="K72" s="133">
        <f t="shared" si="10"/>
        <v>0.13389944475573073</v>
      </c>
      <c r="L72" s="133">
        <f t="shared" si="11"/>
        <v>9.2988915472967892E-2</v>
      </c>
    </row>
    <row r="73" spans="4:12" x14ac:dyDescent="0.25">
      <c r="D73" s="131" t="s">
        <v>143</v>
      </c>
      <c r="E73" s="132">
        <f t="shared" si="12"/>
        <v>490.4</v>
      </c>
      <c r="F73" s="132">
        <f t="shared" si="12"/>
        <v>829.1</v>
      </c>
      <c r="G73" s="133">
        <f t="shared" si="12"/>
        <v>0.2223</v>
      </c>
      <c r="H73" s="131">
        <f t="shared" si="8"/>
        <v>2368</v>
      </c>
      <c r="I73" s="134">
        <f t="shared" si="8"/>
        <v>542</v>
      </c>
      <c r="J73" s="133">
        <f t="shared" si="9"/>
        <v>-1.618149514828511E-2</v>
      </c>
      <c r="K73" s="133">
        <f t="shared" si="10"/>
        <v>6.1479373899400634E-2</v>
      </c>
      <c r="L73" s="133">
        <f t="shared" si="11"/>
        <v>3.6505915377973493E-2</v>
      </c>
    </row>
    <row r="74" spans="4:12" x14ac:dyDescent="0.25">
      <c r="D74" s="131" t="s">
        <v>144</v>
      </c>
      <c r="E74" s="132">
        <f t="shared" si="12"/>
        <v>488.6</v>
      </c>
      <c r="F74" s="132">
        <f t="shared" si="12"/>
        <v>845.7</v>
      </c>
      <c r="G74" s="133">
        <f t="shared" si="12"/>
        <v>0.25390000000000001</v>
      </c>
      <c r="H74" s="131">
        <f t="shared" si="8"/>
        <v>2480</v>
      </c>
      <c r="I74" s="134">
        <f t="shared" si="8"/>
        <v>557</v>
      </c>
      <c r="J74" s="133">
        <f t="shared" si="9"/>
        <v>-0.14016889420839151</v>
      </c>
      <c r="K74" s="133">
        <f t="shared" si="10"/>
        <v>4.8697439133091505E-2</v>
      </c>
      <c r="L74" s="133">
        <f t="shared" si="11"/>
        <v>2.700327060979809E-2</v>
      </c>
    </row>
    <row r="75" spans="4:12" x14ac:dyDescent="0.25">
      <c r="D75" s="131" t="s">
        <v>14</v>
      </c>
      <c r="E75" s="132">
        <f t="shared" si="12"/>
        <v>436.9</v>
      </c>
      <c r="F75" s="132">
        <f t="shared" si="12"/>
        <v>913.7</v>
      </c>
      <c r="G75" s="133">
        <f t="shared" si="12"/>
        <v>0.30070000000000002</v>
      </c>
      <c r="H75" s="131">
        <f t="shared" si="8"/>
        <v>2738</v>
      </c>
      <c r="I75" s="134">
        <f t="shared" si="8"/>
        <v>610</v>
      </c>
      <c r="J75" s="133">
        <f t="shared" si="9"/>
        <v>-0.58184578020643618</v>
      </c>
      <c r="K75" s="133">
        <f t="shared" si="10"/>
        <v>2.1228588258224792E-2</v>
      </c>
      <c r="L75" s="133">
        <f t="shared" si="11"/>
        <v>8.690957740970803E-3</v>
      </c>
    </row>
    <row r="76" spans="4:12" x14ac:dyDescent="0.25">
      <c r="D76" s="131" t="s">
        <v>111</v>
      </c>
      <c r="E76" s="132">
        <f t="shared" si="12"/>
        <v>320.3</v>
      </c>
      <c r="F76" s="132">
        <f t="shared" si="12"/>
        <v>1139.4000000000001</v>
      </c>
      <c r="G76" s="133">
        <f t="shared" si="12"/>
        <v>0.50690000000000002</v>
      </c>
      <c r="H76" s="135">
        <f>C58</f>
        <v>3469.5631103999995</v>
      </c>
      <c r="I76" s="134">
        <f>C59</f>
        <v>741.30241639999997</v>
      </c>
      <c r="J76" s="133">
        <f t="shared" si="9"/>
        <v>-1.7447556128148001</v>
      </c>
      <c r="K76" s="133">
        <f t="shared" si="10"/>
        <v>2.3851820171796076E-3</v>
      </c>
      <c r="L76" s="133">
        <f t="shared" si="11"/>
        <v>1.0059728180518306E-4</v>
      </c>
    </row>
    <row r="77" spans="4:12" x14ac:dyDescent="0.25">
      <c r="D77"/>
      <c r="E77"/>
      <c r="F77"/>
      <c r="G77"/>
      <c r="H77"/>
      <c r="I77"/>
      <c r="J77"/>
    </row>
    <row r="78" spans="4:12" x14ac:dyDescent="0.25">
      <c r="D78"/>
      <c r="E78"/>
      <c r="F78"/>
      <c r="G78"/>
      <c r="H78"/>
      <c r="I78"/>
      <c r="J78"/>
    </row>
    <row r="79" spans="4:12" x14ac:dyDescent="0.25">
      <c r="D79" s="102" t="s">
        <v>185</v>
      </c>
      <c r="E79"/>
      <c r="F79"/>
      <c r="G79"/>
      <c r="H79"/>
      <c r="I79"/>
      <c r="J79"/>
    </row>
    <row r="80" spans="4:12" x14ac:dyDescent="0.25">
      <c r="D80"/>
      <c r="E80" t="s">
        <v>186</v>
      </c>
      <c r="F80"/>
      <c r="G80"/>
      <c r="H80"/>
      <c r="I80"/>
      <c r="J80"/>
    </row>
    <row r="81" spans="2:10" x14ac:dyDescent="0.25">
      <c r="D81"/>
      <c r="E81"/>
      <c r="F81"/>
      <c r="G81"/>
      <c r="H81"/>
      <c r="I81"/>
      <c r="J81"/>
    </row>
    <row r="82" spans="2:10" x14ac:dyDescent="0.25">
      <c r="D82"/>
      <c r="E82"/>
      <c r="F82"/>
      <c r="G82"/>
      <c r="H82"/>
      <c r="I82"/>
      <c r="J82"/>
    </row>
    <row r="86" spans="2:10" x14ac:dyDescent="0.25">
      <c r="B86" s="3" t="s">
        <v>187</v>
      </c>
    </row>
    <row r="87" spans="2:10" x14ac:dyDescent="0.25">
      <c r="B87" s="122" t="s">
        <v>188</v>
      </c>
    </row>
    <row r="88" spans="2:10" x14ac:dyDescent="0.25">
      <c r="B88" t="s">
        <v>189</v>
      </c>
    </row>
    <row r="89" spans="2:10" x14ac:dyDescent="0.25">
      <c r="B89" t="s">
        <v>190</v>
      </c>
    </row>
    <row r="90" spans="2:10" x14ac:dyDescent="0.25">
      <c r="B90" t="s">
        <v>191</v>
      </c>
    </row>
    <row r="91" spans="2:10" x14ac:dyDescent="0.25">
      <c r="B91" t="s">
        <v>192</v>
      </c>
    </row>
    <row r="92" spans="2:10" x14ac:dyDescent="0.25">
      <c r="B92" t="s">
        <v>193</v>
      </c>
    </row>
    <row r="93" spans="2:10" x14ac:dyDescent="0.25">
      <c r="B93" t="s">
        <v>194</v>
      </c>
    </row>
    <row r="94" spans="2:10" x14ac:dyDescent="0.25">
      <c r="B94" t="s">
        <v>195</v>
      </c>
    </row>
    <row r="95" spans="2:10" x14ac:dyDescent="0.25">
      <c r="B95" t="s">
        <v>196</v>
      </c>
    </row>
    <row r="96" spans="2:10" x14ac:dyDescent="0.25">
      <c r="B96" t="s">
        <v>197</v>
      </c>
    </row>
    <row r="97" spans="1:15" x14ac:dyDescent="0.25">
      <c r="B97" t="s">
        <v>198</v>
      </c>
    </row>
    <row r="98" spans="1:15" s="94" customFormat="1" x14ac:dyDescent="0.25">
      <c r="A98"/>
      <c r="B98" t="s">
        <v>199</v>
      </c>
      <c r="K98"/>
      <c r="L98"/>
      <c r="M98"/>
      <c r="N98"/>
      <c r="O98"/>
    </row>
    <row r="99" spans="1:15" s="94" customFormat="1" x14ac:dyDescent="0.25">
      <c r="A99"/>
      <c r="B99" t="s">
        <v>200</v>
      </c>
      <c r="K99"/>
      <c r="L99"/>
      <c r="M99"/>
      <c r="N99"/>
      <c r="O99"/>
    </row>
    <row r="100" spans="1:15" s="94" customFormat="1" x14ac:dyDescent="0.25">
      <c r="A100"/>
      <c r="B100" t="s">
        <v>201</v>
      </c>
      <c r="K100"/>
      <c r="L100"/>
      <c r="M100"/>
      <c r="N100"/>
      <c r="O100"/>
    </row>
    <row r="101" spans="1:15" s="94" customFormat="1" x14ac:dyDescent="0.25">
      <c r="A101"/>
      <c r="B101" t="s">
        <v>202</v>
      </c>
      <c r="K101"/>
      <c r="L101"/>
      <c r="M101"/>
      <c r="N101"/>
      <c r="O101"/>
    </row>
    <row r="102" spans="1:15" s="94" customFormat="1" x14ac:dyDescent="0.25">
      <c r="A102"/>
      <c r="B102" t="s">
        <v>203</v>
      </c>
      <c r="K102"/>
      <c r="L102"/>
      <c r="M102"/>
      <c r="N102"/>
      <c r="O102"/>
    </row>
    <row r="103" spans="1:15" s="94" customFormat="1" x14ac:dyDescent="0.25">
      <c r="A103"/>
      <c r="B103" t="s">
        <v>46</v>
      </c>
      <c r="C103" s="94" t="s">
        <v>204</v>
      </c>
      <c r="D103" s="94" t="s">
        <v>205</v>
      </c>
      <c r="K103"/>
      <c r="L103"/>
      <c r="M103"/>
      <c r="N103"/>
      <c r="O103"/>
    </row>
    <row r="104" spans="1:15" s="94" customFormat="1" x14ac:dyDescent="0.25">
      <c r="A104"/>
      <c r="B104" t="s">
        <v>102</v>
      </c>
      <c r="C104" s="94">
        <v>470</v>
      </c>
      <c r="D104" s="94">
        <v>109</v>
      </c>
      <c r="K104"/>
      <c r="L104"/>
      <c r="M104"/>
      <c r="N104"/>
      <c r="O104"/>
    </row>
    <row r="105" spans="1:15" s="94" customFormat="1" x14ac:dyDescent="0.25">
      <c r="A105"/>
      <c r="B105" t="s">
        <v>103</v>
      </c>
      <c r="C105" s="94">
        <v>652</v>
      </c>
      <c r="D105" s="94">
        <v>194</v>
      </c>
      <c r="K105"/>
      <c r="L105"/>
      <c r="M105"/>
      <c r="N105"/>
      <c r="O105"/>
    </row>
    <row r="106" spans="1:15" s="94" customFormat="1" x14ac:dyDescent="0.25">
      <c r="A106"/>
      <c r="B106" t="s">
        <v>104</v>
      </c>
      <c r="C106" s="94">
        <v>1136</v>
      </c>
      <c r="D106" s="94">
        <v>331</v>
      </c>
      <c r="K106"/>
      <c r="L106"/>
      <c r="M106"/>
      <c r="N106"/>
      <c r="O106"/>
    </row>
    <row r="107" spans="1:15" s="94" customFormat="1" x14ac:dyDescent="0.25">
      <c r="A107"/>
      <c r="B107" t="s">
        <v>138</v>
      </c>
      <c r="C107" s="94">
        <v>300</v>
      </c>
      <c r="D107" s="94">
        <v>94</v>
      </c>
      <c r="K107"/>
      <c r="L107"/>
      <c r="M107"/>
      <c r="N107"/>
      <c r="O107"/>
    </row>
    <row r="108" spans="1:15" s="94" customFormat="1" x14ac:dyDescent="0.25">
      <c r="A108"/>
      <c r="B108" t="s">
        <v>184</v>
      </c>
      <c r="C108" s="94">
        <v>1145</v>
      </c>
      <c r="D108" s="94">
        <v>303</v>
      </c>
      <c r="K108"/>
      <c r="L108"/>
      <c r="M108"/>
      <c r="N108"/>
      <c r="O108"/>
    </row>
    <row r="109" spans="1:15" s="94" customFormat="1" x14ac:dyDescent="0.25">
      <c r="A109"/>
      <c r="B109" t="s">
        <v>140</v>
      </c>
      <c r="C109" s="94">
        <v>1799</v>
      </c>
      <c r="D109" s="94">
        <v>416</v>
      </c>
      <c r="K109"/>
      <c r="L109"/>
      <c r="M109"/>
      <c r="N109"/>
      <c r="O109"/>
    </row>
    <row r="110" spans="1:15" s="94" customFormat="1" x14ac:dyDescent="0.25">
      <c r="A110"/>
      <c r="B110" t="s">
        <v>206</v>
      </c>
      <c r="C110" s="94">
        <v>2037</v>
      </c>
      <c r="D110" s="94">
        <v>471</v>
      </c>
      <c r="K110"/>
      <c r="L110"/>
      <c r="M110"/>
      <c r="N110"/>
      <c r="O110"/>
    </row>
    <row r="111" spans="1:15" s="94" customFormat="1" x14ac:dyDescent="0.25">
      <c r="A111"/>
      <c r="B111" t="s">
        <v>207</v>
      </c>
      <c r="C111" s="94">
        <v>2153</v>
      </c>
      <c r="D111" s="94">
        <v>491</v>
      </c>
      <c r="K111"/>
      <c r="L111"/>
      <c r="M111"/>
      <c r="N111"/>
      <c r="O111"/>
    </row>
    <row r="112" spans="1:15" s="94" customFormat="1" x14ac:dyDescent="0.25">
      <c r="A112"/>
      <c r="B112" t="s">
        <v>208</v>
      </c>
      <c r="C112" s="94">
        <v>2368</v>
      </c>
      <c r="D112" s="94">
        <v>542</v>
      </c>
      <c r="K112"/>
      <c r="L112"/>
      <c r="M112"/>
      <c r="N112"/>
      <c r="O112"/>
    </row>
    <row r="113" spans="1:15" s="94" customFormat="1" x14ac:dyDescent="0.25">
      <c r="A113"/>
      <c r="B113" t="s">
        <v>209</v>
      </c>
      <c r="C113" s="94">
        <v>2480</v>
      </c>
      <c r="D113" s="94">
        <v>557</v>
      </c>
      <c r="K113"/>
      <c r="L113"/>
      <c r="M113"/>
      <c r="N113"/>
      <c r="O113"/>
    </row>
    <row r="114" spans="1:15" s="94" customFormat="1" x14ac:dyDescent="0.25">
      <c r="A114"/>
      <c r="B114" t="s">
        <v>210</v>
      </c>
      <c r="C114" s="94">
        <v>2738</v>
      </c>
      <c r="D114" s="94">
        <v>610</v>
      </c>
      <c r="K114"/>
      <c r="L114"/>
      <c r="M114"/>
      <c r="N114"/>
      <c r="O114"/>
    </row>
    <row r="115" spans="1:15" s="94" customFormat="1" x14ac:dyDescent="0.25">
      <c r="A115"/>
      <c r="B115" t="s">
        <v>211</v>
      </c>
      <c r="C115" s="94">
        <v>2780</v>
      </c>
      <c r="D115" s="94">
        <v>616</v>
      </c>
      <c r="K115"/>
      <c r="L115"/>
      <c r="M115"/>
      <c r="N115"/>
      <c r="O115"/>
    </row>
    <row r="116" spans="1:15" s="94" customFormat="1" x14ac:dyDescent="0.25">
      <c r="A116"/>
      <c r="B116" t="s">
        <v>212</v>
      </c>
      <c r="C116" s="94">
        <v>3068</v>
      </c>
      <c r="D116" s="94">
        <v>669</v>
      </c>
      <c r="K116"/>
      <c r="L116"/>
      <c r="M116"/>
      <c r="N116"/>
      <c r="O116"/>
    </row>
    <row r="117" spans="1:15" s="94" customFormat="1" x14ac:dyDescent="0.25">
      <c r="A117"/>
      <c r="B117" t="s">
        <v>213</v>
      </c>
      <c r="C117" s="94">
        <v>3335</v>
      </c>
      <c r="D117" s="94">
        <v>718</v>
      </c>
      <c r="K117"/>
      <c r="L117"/>
      <c r="M117"/>
      <c r="N117"/>
      <c r="O117"/>
    </row>
    <row r="118" spans="1:15" s="94" customFormat="1" x14ac:dyDescent="0.25">
      <c r="A118"/>
      <c r="B118" t="s">
        <v>214</v>
      </c>
      <c r="C118" s="94">
        <v>3590</v>
      </c>
      <c r="D118" s="94">
        <v>763</v>
      </c>
      <c r="K118"/>
      <c r="L118"/>
      <c r="M118"/>
      <c r="N118"/>
      <c r="O118"/>
    </row>
    <row r="119" spans="1:15" s="94" customFormat="1" x14ac:dyDescent="0.25">
      <c r="A119"/>
      <c r="B119" t="s">
        <v>215</v>
      </c>
      <c r="C119" s="94">
        <v>3828</v>
      </c>
      <c r="D119" s="94">
        <v>805</v>
      </c>
      <c r="K119"/>
      <c r="L119"/>
      <c r="M119"/>
      <c r="N119"/>
      <c r="O119"/>
    </row>
    <row r="120" spans="1:15" s="94" customFormat="1" x14ac:dyDescent="0.25">
      <c r="A120"/>
      <c r="B120" t="s">
        <v>216</v>
      </c>
      <c r="K120"/>
      <c r="L120"/>
      <c r="M120"/>
      <c r="N120"/>
      <c r="O120"/>
    </row>
    <row r="121" spans="1:15" s="94" customFormat="1" x14ac:dyDescent="0.25">
      <c r="A121"/>
      <c r="B121" t="s">
        <v>217</v>
      </c>
      <c r="K121"/>
      <c r="L121"/>
      <c r="M121"/>
      <c r="N121"/>
      <c r="O121"/>
    </row>
    <row r="122" spans="1:15" s="94" customFormat="1" x14ac:dyDescent="0.25">
      <c r="A122"/>
      <c r="B122" t="s">
        <v>218</v>
      </c>
      <c r="K122"/>
      <c r="L122"/>
      <c r="M122"/>
      <c r="N122"/>
      <c r="O122"/>
    </row>
    <row r="123" spans="1:15" s="94" customFormat="1" x14ac:dyDescent="0.25">
      <c r="A123"/>
      <c r="B123" t="s">
        <v>219</v>
      </c>
      <c r="K123"/>
      <c r="L123"/>
      <c r="M123"/>
      <c r="N123"/>
      <c r="O123"/>
    </row>
    <row r="124" spans="1:15" s="94" customFormat="1" x14ac:dyDescent="0.25">
      <c r="A124"/>
      <c r="B124" t="s">
        <v>220</v>
      </c>
      <c r="K124"/>
      <c r="L124"/>
      <c r="M124"/>
      <c r="N124"/>
      <c r="O124"/>
    </row>
    <row r="125" spans="1:15" s="94" customFormat="1" x14ac:dyDescent="0.25">
      <c r="A125"/>
      <c r="B125" t="s">
        <v>221</v>
      </c>
      <c r="K125"/>
      <c r="L125"/>
      <c r="M125"/>
      <c r="N125"/>
      <c r="O125"/>
    </row>
    <row r="126" spans="1:15" s="94" customFormat="1" x14ac:dyDescent="0.25">
      <c r="A126"/>
      <c r="B126" t="s">
        <v>222</v>
      </c>
      <c r="K126"/>
      <c r="L126"/>
      <c r="M126"/>
      <c r="N126"/>
      <c r="O126"/>
    </row>
    <row r="127" spans="1:15" s="94" customFormat="1" x14ac:dyDescent="0.25">
      <c r="A127"/>
      <c r="B127" t="s">
        <v>223</v>
      </c>
      <c r="K127"/>
      <c r="L127"/>
      <c r="M127"/>
      <c r="N127"/>
      <c r="O127"/>
    </row>
    <row r="128" spans="1:15" s="94" customFormat="1" x14ac:dyDescent="0.25">
      <c r="A128"/>
      <c r="B128" t="s">
        <v>224</v>
      </c>
      <c r="K128"/>
      <c r="L128"/>
      <c r="M128"/>
      <c r="N128"/>
      <c r="O128"/>
    </row>
    <row r="130" spans="1:15" s="94" customFormat="1" x14ac:dyDescent="0.25">
      <c r="A130"/>
      <c r="B130" t="s">
        <v>225</v>
      </c>
      <c r="K130"/>
      <c r="L130"/>
      <c r="M130"/>
      <c r="N130"/>
      <c r="O130"/>
    </row>
    <row r="131" spans="1:15" s="94" customFormat="1" x14ac:dyDescent="0.25">
      <c r="A131"/>
      <c r="B131" t="s">
        <v>226</v>
      </c>
      <c r="K131"/>
      <c r="L131"/>
      <c r="M131"/>
      <c r="N131"/>
      <c r="O131"/>
    </row>
    <row r="132" spans="1:15" s="94" customFormat="1" x14ac:dyDescent="0.25">
      <c r="A132"/>
      <c r="B132" t="s">
        <v>227</v>
      </c>
      <c r="K132"/>
      <c r="L132"/>
      <c r="M132"/>
      <c r="N132"/>
      <c r="O132"/>
    </row>
    <row r="133" spans="1:15" s="94" customFormat="1" x14ac:dyDescent="0.25">
      <c r="A133"/>
      <c r="B133" t="s">
        <v>228</v>
      </c>
      <c r="K133"/>
      <c r="L133"/>
      <c r="M133"/>
      <c r="N133"/>
      <c r="O133"/>
    </row>
    <row r="135" spans="1:15" s="94" customFormat="1" x14ac:dyDescent="0.25">
      <c r="A135"/>
      <c r="B135" t="s">
        <v>229</v>
      </c>
      <c r="K135"/>
      <c r="L135"/>
      <c r="M135"/>
      <c r="N135"/>
      <c r="O135"/>
    </row>
    <row r="136" spans="1:15" s="94" customFormat="1" x14ac:dyDescent="0.25">
      <c r="A136"/>
      <c r="B136" t="s">
        <v>230</v>
      </c>
      <c r="K136"/>
      <c r="L136"/>
      <c r="M136"/>
      <c r="N136"/>
      <c r="O136"/>
    </row>
    <row r="137" spans="1:15" s="94" customFormat="1" x14ac:dyDescent="0.25">
      <c r="A137"/>
      <c r="B137" t="s">
        <v>231</v>
      </c>
      <c r="K137"/>
      <c r="L137"/>
      <c r="M137"/>
      <c r="N137"/>
      <c r="O137"/>
    </row>
    <row r="138" spans="1:15" s="94" customFormat="1" x14ac:dyDescent="0.25">
      <c r="A138"/>
      <c r="B138" t="s">
        <v>232</v>
      </c>
      <c r="K138"/>
      <c r="L138"/>
      <c r="M138"/>
      <c r="N138"/>
      <c r="O138"/>
    </row>
    <row r="139" spans="1:15" s="94" customFormat="1" x14ac:dyDescent="0.25">
      <c r="A139"/>
      <c r="B139" t="s">
        <v>233</v>
      </c>
      <c r="K139"/>
      <c r="L139"/>
      <c r="M139"/>
      <c r="N139"/>
      <c r="O139"/>
    </row>
    <row r="140" spans="1:15" s="94" customFormat="1" x14ac:dyDescent="0.25">
      <c r="A140"/>
      <c r="B140" t="s">
        <v>234</v>
      </c>
      <c r="K140"/>
      <c r="L140"/>
      <c r="M140"/>
      <c r="N140"/>
      <c r="O140"/>
    </row>
    <row r="141" spans="1:15" s="94" customFormat="1" x14ac:dyDescent="0.25">
      <c r="A141"/>
      <c r="B141" t="s">
        <v>235</v>
      </c>
      <c r="K141"/>
      <c r="L141"/>
      <c r="M141"/>
      <c r="N141"/>
      <c r="O141"/>
    </row>
    <row r="142" spans="1:15" s="94" customFormat="1" x14ac:dyDescent="0.25">
      <c r="A142"/>
      <c r="B142" t="s">
        <v>46</v>
      </c>
      <c r="C142" s="94" t="s">
        <v>236</v>
      </c>
      <c r="K142"/>
      <c r="L142"/>
      <c r="M142"/>
      <c r="N142"/>
      <c r="O142"/>
    </row>
    <row r="143" spans="1:15" s="94" customFormat="1" x14ac:dyDescent="0.25">
      <c r="A143"/>
      <c r="B143" t="s">
        <v>103</v>
      </c>
      <c r="C143" s="94">
        <v>8.9999999999999993E-3</v>
      </c>
      <c r="K143"/>
      <c r="L143"/>
      <c r="M143"/>
      <c r="N143"/>
      <c r="O143"/>
    </row>
    <row r="144" spans="1:15" s="94" customFormat="1" x14ac:dyDescent="0.25">
      <c r="A144"/>
      <c r="B144" t="s">
        <v>102</v>
      </c>
      <c r="C144" s="94">
        <v>3.0000000000000001E-3</v>
      </c>
      <c r="K144"/>
      <c r="L144"/>
      <c r="M144"/>
      <c r="N144"/>
      <c r="O144"/>
    </row>
    <row r="145" spans="1:15" s="94" customFormat="1" x14ac:dyDescent="0.25">
      <c r="A145"/>
      <c r="B145" t="s">
        <v>138</v>
      </c>
      <c r="C145" s="94">
        <v>0.53500000000000003</v>
      </c>
      <c r="K145"/>
      <c r="L145"/>
      <c r="M145"/>
      <c r="N145"/>
      <c r="O145"/>
    </row>
    <row r="146" spans="1:15" s="94" customFormat="1" x14ac:dyDescent="0.25">
      <c r="A146"/>
      <c r="B146" t="s">
        <v>184</v>
      </c>
      <c r="C146" s="94">
        <v>0.115</v>
      </c>
      <c r="K146"/>
      <c r="L146"/>
      <c r="M146"/>
      <c r="N146"/>
      <c r="O146"/>
    </row>
    <row r="147" spans="1:15" s="94" customFormat="1" x14ac:dyDescent="0.25">
      <c r="A147"/>
      <c r="B147" t="s">
        <v>140</v>
      </c>
      <c r="C147" s="94">
        <v>8.7999999999999995E-2</v>
      </c>
      <c r="K147"/>
      <c r="L147"/>
      <c r="M147"/>
      <c r="N147"/>
      <c r="O147"/>
    </row>
    <row r="148" spans="1:15" s="94" customFormat="1" x14ac:dyDescent="0.25">
      <c r="A148"/>
      <c r="B148" t="s">
        <v>206</v>
      </c>
      <c r="C148" s="94">
        <v>2.3E-2</v>
      </c>
      <c r="K148"/>
      <c r="L148"/>
      <c r="M148"/>
      <c r="N148"/>
      <c r="O148"/>
    </row>
    <row r="149" spans="1:15" s="94" customFormat="1" x14ac:dyDescent="0.25">
      <c r="A149"/>
      <c r="B149" t="s">
        <v>207</v>
      </c>
      <c r="C149" s="94">
        <v>2.3E-2</v>
      </c>
      <c r="K149"/>
      <c r="L149"/>
      <c r="M149"/>
      <c r="N149"/>
      <c r="O149"/>
    </row>
    <row r="150" spans="1:15" s="94" customFormat="1" x14ac:dyDescent="0.25">
      <c r="A150"/>
      <c r="B150" t="s">
        <v>208</v>
      </c>
      <c r="C150" s="94">
        <v>1.4999999999999999E-2</v>
      </c>
      <c r="K150"/>
      <c r="L150"/>
      <c r="M150"/>
      <c r="N150"/>
      <c r="O150"/>
    </row>
    <row r="151" spans="1:15" s="94" customFormat="1" x14ac:dyDescent="0.25">
      <c r="A151"/>
      <c r="B151" t="s">
        <v>209</v>
      </c>
      <c r="C151" s="94">
        <v>1.4999999999999999E-2</v>
      </c>
      <c r="K151"/>
      <c r="L151"/>
      <c r="M151"/>
      <c r="N151"/>
      <c r="O151"/>
    </row>
    <row r="152" spans="1:15" s="94" customFormat="1" x14ac:dyDescent="0.25">
      <c r="A152"/>
      <c r="B152" t="s">
        <v>14</v>
      </c>
      <c r="C152" s="94">
        <v>1.4999999999999999E-2</v>
      </c>
      <c r="K152"/>
      <c r="L152"/>
      <c r="M152"/>
      <c r="N152"/>
      <c r="O152"/>
    </row>
    <row r="153" spans="1:15" s="94" customFormat="1" x14ac:dyDescent="0.25">
      <c r="A153"/>
      <c r="B153" t="s">
        <v>111</v>
      </c>
      <c r="C153" s="94">
        <v>0.159</v>
      </c>
      <c r="K153"/>
      <c r="L153"/>
      <c r="M153"/>
      <c r="N153"/>
      <c r="O153"/>
    </row>
    <row r="154" spans="1:15" s="94" customFormat="1" x14ac:dyDescent="0.25">
      <c r="A154"/>
      <c r="B154" t="s">
        <v>237</v>
      </c>
      <c r="K154"/>
      <c r="L154"/>
      <c r="M154"/>
      <c r="N154"/>
      <c r="O154"/>
    </row>
    <row r="155" spans="1:15" s="94" customFormat="1" x14ac:dyDescent="0.25">
      <c r="A155"/>
      <c r="B155" t="s">
        <v>238</v>
      </c>
      <c r="K155"/>
      <c r="L155"/>
      <c r="M155"/>
      <c r="N155"/>
      <c r="O155"/>
    </row>
    <row r="156" spans="1:15" s="94" customFormat="1" x14ac:dyDescent="0.25">
      <c r="A156"/>
      <c r="B156" t="s">
        <v>239</v>
      </c>
      <c r="K156"/>
      <c r="L156"/>
      <c r="M156"/>
      <c r="N156"/>
      <c r="O156"/>
    </row>
    <row r="157" spans="1:15" s="94" customFormat="1" x14ac:dyDescent="0.25">
      <c r="A157"/>
      <c r="B157" t="s">
        <v>240</v>
      </c>
      <c r="K157"/>
      <c r="L157"/>
      <c r="M157"/>
      <c r="N157"/>
      <c r="O157"/>
    </row>
    <row r="158" spans="1:15" s="94" customFormat="1" x14ac:dyDescent="0.25">
      <c r="A158"/>
      <c r="B158" t="s">
        <v>241</v>
      </c>
      <c r="K158"/>
      <c r="L158"/>
      <c r="M158"/>
      <c r="N158"/>
      <c r="O158"/>
    </row>
    <row r="159" spans="1:15" s="94" customFormat="1" x14ac:dyDescent="0.25">
      <c r="A159"/>
      <c r="B159" t="s">
        <v>242</v>
      </c>
      <c r="K159"/>
      <c r="L159"/>
      <c r="M159"/>
      <c r="N159"/>
      <c r="O159"/>
    </row>
    <row r="160" spans="1:15" s="94" customFormat="1" x14ac:dyDescent="0.25">
      <c r="A160"/>
      <c r="B160" t="s">
        <v>222</v>
      </c>
      <c r="K160"/>
      <c r="L160"/>
      <c r="M160"/>
      <c r="N160"/>
      <c r="O160"/>
    </row>
    <row r="161" spans="1:15" s="94" customFormat="1" x14ac:dyDescent="0.25">
      <c r="A161"/>
      <c r="B161" t="s">
        <v>243</v>
      </c>
      <c r="K161"/>
      <c r="L161"/>
      <c r="M161"/>
      <c r="N161"/>
      <c r="O161"/>
    </row>
    <row r="162" spans="1:15" s="94" customFormat="1" x14ac:dyDescent="0.25">
      <c r="A162"/>
      <c r="B162" t="s">
        <v>244</v>
      </c>
      <c r="K162"/>
      <c r="L162"/>
      <c r="M162"/>
      <c r="N162"/>
      <c r="O162"/>
    </row>
    <row r="163" spans="1:15" s="94" customFormat="1" x14ac:dyDescent="0.25">
      <c r="A163"/>
      <c r="B163" t="s">
        <v>225</v>
      </c>
      <c r="K163"/>
      <c r="L163"/>
      <c r="M163"/>
      <c r="N163"/>
      <c r="O163"/>
    </row>
    <row r="164" spans="1:15" s="94" customFormat="1" x14ac:dyDescent="0.25">
      <c r="A164"/>
      <c r="B164" t="s">
        <v>245</v>
      </c>
      <c r="K164"/>
      <c r="L164"/>
      <c r="M164"/>
      <c r="N164"/>
      <c r="O164"/>
    </row>
    <row r="165" spans="1:15" s="94" customFormat="1" x14ac:dyDescent="0.25">
      <c r="A165"/>
      <c r="B165" t="s">
        <v>46</v>
      </c>
      <c r="C165" s="94" t="s">
        <v>246</v>
      </c>
      <c r="D165" s="94" t="s">
        <v>247</v>
      </c>
      <c r="E165" s="94" t="s">
        <v>248</v>
      </c>
      <c r="F165" s="94" t="s">
        <v>249</v>
      </c>
      <c r="K165"/>
      <c r="L165"/>
      <c r="M165"/>
      <c r="N165"/>
      <c r="O165"/>
    </row>
    <row r="166" spans="1:15" s="94" customFormat="1" x14ac:dyDescent="0.25">
      <c r="A166"/>
      <c r="B166" t="s">
        <v>103</v>
      </c>
      <c r="C166" s="94">
        <v>1071</v>
      </c>
      <c r="D166" s="94">
        <v>547.9</v>
      </c>
      <c r="E166" s="94">
        <v>0.22500000000000001</v>
      </c>
      <c r="F166" s="94">
        <v>2.0922999999999998</v>
      </c>
      <c r="K166"/>
      <c r="L166"/>
      <c r="M166"/>
      <c r="N166"/>
      <c r="O166"/>
    </row>
    <row r="167" spans="1:15" s="94" customFormat="1" x14ac:dyDescent="0.25">
      <c r="A167"/>
      <c r="B167" t="s">
        <v>102</v>
      </c>
      <c r="C167" s="94">
        <v>493</v>
      </c>
      <c r="D167" s="94">
        <v>227.6</v>
      </c>
      <c r="E167" s="94">
        <v>0.04</v>
      </c>
      <c r="F167" s="94">
        <v>16.343</v>
      </c>
      <c r="K167"/>
      <c r="L167"/>
      <c r="M167"/>
      <c r="N167"/>
      <c r="O167"/>
    </row>
    <row r="168" spans="1:15" s="94" customFormat="1" x14ac:dyDescent="0.25">
      <c r="A168"/>
      <c r="B168" t="s">
        <v>138</v>
      </c>
      <c r="C168" s="94">
        <v>667.8</v>
      </c>
      <c r="D168" s="94">
        <v>343.37</v>
      </c>
      <c r="E168" s="94">
        <v>1.04E-2</v>
      </c>
      <c r="F168" s="94">
        <v>7.1550000000000002</v>
      </c>
      <c r="K168"/>
      <c r="L168"/>
      <c r="M168"/>
      <c r="N168"/>
      <c r="O168"/>
    </row>
    <row r="169" spans="1:15" s="94" customFormat="1" x14ac:dyDescent="0.25">
      <c r="A169"/>
      <c r="B169" t="s">
        <v>184</v>
      </c>
      <c r="C169" s="94">
        <v>707.8</v>
      </c>
      <c r="D169" s="94">
        <v>550.09</v>
      </c>
      <c r="E169" s="94">
        <v>9.8599999999999993E-2</v>
      </c>
      <c r="F169" s="94">
        <v>1.236</v>
      </c>
      <c r="K169"/>
      <c r="L169"/>
      <c r="M169"/>
      <c r="N169"/>
      <c r="O169"/>
    </row>
    <row r="170" spans="1:15" s="94" customFormat="1" x14ac:dyDescent="0.25">
      <c r="A170"/>
      <c r="B170" t="s">
        <v>140</v>
      </c>
      <c r="C170" s="94">
        <v>616.29999999999995</v>
      </c>
      <c r="D170" s="94">
        <v>666.01</v>
      </c>
      <c r="E170" s="94">
        <v>0.1542</v>
      </c>
      <c r="F170" s="94">
        <v>0.34899999999999998</v>
      </c>
      <c r="K170"/>
      <c r="L170"/>
      <c r="M170"/>
      <c r="N170"/>
      <c r="O170"/>
    </row>
    <row r="171" spans="1:15" s="94" customFormat="1" x14ac:dyDescent="0.25">
      <c r="A171"/>
      <c r="B171" t="s">
        <v>206</v>
      </c>
      <c r="C171" s="94">
        <v>529.1</v>
      </c>
      <c r="D171" s="94">
        <v>734.98</v>
      </c>
      <c r="E171" s="94">
        <v>0.18479999999999999</v>
      </c>
      <c r="F171" s="94">
        <v>0.14399999999999999</v>
      </c>
      <c r="K171"/>
      <c r="L171"/>
      <c r="M171"/>
      <c r="N171"/>
      <c r="O171"/>
    </row>
    <row r="172" spans="1:15" s="94" customFormat="1" x14ac:dyDescent="0.25">
      <c r="A172"/>
      <c r="B172" t="s">
        <v>207</v>
      </c>
      <c r="C172" s="94">
        <v>550.70000000000005</v>
      </c>
      <c r="D172" s="94">
        <v>765.65</v>
      </c>
      <c r="E172" s="94">
        <v>0.20100000000000001</v>
      </c>
      <c r="F172" s="94">
        <v>0.106</v>
      </c>
      <c r="K172"/>
      <c r="L172"/>
      <c r="M172"/>
      <c r="N172"/>
      <c r="O172"/>
    </row>
    <row r="173" spans="1:15" s="94" customFormat="1" x14ac:dyDescent="0.25">
      <c r="A173"/>
      <c r="B173" t="s">
        <v>208</v>
      </c>
      <c r="C173" s="94">
        <v>490.4</v>
      </c>
      <c r="D173" s="94">
        <v>829.1</v>
      </c>
      <c r="E173" s="94">
        <v>0.2223</v>
      </c>
      <c r="F173" s="94">
        <v>4.5999999999999999E-2</v>
      </c>
      <c r="K173"/>
      <c r="L173"/>
      <c r="M173"/>
      <c r="N173"/>
      <c r="O173"/>
    </row>
    <row r="174" spans="1:15" s="94" customFormat="1" x14ac:dyDescent="0.25">
      <c r="A174"/>
      <c r="B174" t="s">
        <v>209</v>
      </c>
      <c r="C174" s="94">
        <v>488.6</v>
      </c>
      <c r="D174" s="94">
        <v>845.7</v>
      </c>
      <c r="E174" s="94">
        <v>0.25390000000000001</v>
      </c>
      <c r="F174" s="94">
        <v>3.5999999999999997E-2</v>
      </c>
      <c r="K174"/>
      <c r="L174"/>
      <c r="M174"/>
      <c r="N174"/>
      <c r="O174"/>
    </row>
    <row r="175" spans="1:15" s="94" customFormat="1" x14ac:dyDescent="0.25">
      <c r="A175"/>
      <c r="B175" t="s">
        <v>14</v>
      </c>
      <c r="C175" s="94">
        <v>436.9</v>
      </c>
      <c r="D175" s="94">
        <v>913.7</v>
      </c>
      <c r="E175" s="94">
        <v>0.30070000000000002</v>
      </c>
      <c r="F175" s="94">
        <v>1.2999999999999999E-2</v>
      </c>
      <c r="K175"/>
      <c r="L175"/>
      <c r="M175"/>
      <c r="N175"/>
      <c r="O175"/>
    </row>
    <row r="176" spans="1:15" s="94" customFormat="1" x14ac:dyDescent="0.25">
      <c r="A176"/>
      <c r="B176" t="s">
        <v>111</v>
      </c>
      <c r="C176" s="94">
        <v>320.3</v>
      </c>
      <c r="D176" s="94">
        <v>1139.4000000000001</v>
      </c>
      <c r="E176" s="94">
        <v>0.50690000000000002</v>
      </c>
      <c r="F176" s="94">
        <v>2.9E-4</v>
      </c>
      <c r="K176"/>
      <c r="L176"/>
      <c r="M176"/>
      <c r="N176"/>
      <c r="O176"/>
    </row>
    <row r="177" spans="1:15" s="94" customFormat="1" x14ac:dyDescent="0.25">
      <c r="A177"/>
      <c r="B177" t="s">
        <v>240</v>
      </c>
      <c r="K177"/>
      <c r="L177"/>
      <c r="M177"/>
      <c r="N177"/>
      <c r="O177"/>
    </row>
    <row r="179" spans="1:15" s="94" customFormat="1" x14ac:dyDescent="0.25">
      <c r="A179"/>
      <c r="B179" t="s">
        <v>222</v>
      </c>
      <c r="K179"/>
      <c r="L179"/>
      <c r="M179"/>
      <c r="N179"/>
      <c r="O179"/>
    </row>
    <row r="180" spans="1:15" s="94" customFormat="1" x14ac:dyDescent="0.25">
      <c r="A180"/>
      <c r="B180" t="s">
        <v>250</v>
      </c>
      <c r="K180"/>
      <c r="L180"/>
      <c r="M180"/>
      <c r="N180"/>
      <c r="O180"/>
    </row>
    <row r="181" spans="1:15" s="94" customFormat="1" x14ac:dyDescent="0.25">
      <c r="A181"/>
      <c r="B181" t="s">
        <v>251</v>
      </c>
      <c r="K181"/>
      <c r="L181"/>
      <c r="M181"/>
      <c r="N181"/>
      <c r="O181"/>
    </row>
    <row r="183" spans="1:15" s="94" customFormat="1" x14ac:dyDescent="0.25">
      <c r="A183"/>
      <c r="B183" t="s">
        <v>225</v>
      </c>
      <c r="K183"/>
      <c r="L183"/>
      <c r="M183"/>
      <c r="N183"/>
      <c r="O183"/>
    </row>
    <row r="184" spans="1:15" s="94" customFormat="1" x14ac:dyDescent="0.25">
      <c r="A184"/>
      <c r="B184" t="s">
        <v>252</v>
      </c>
      <c r="K184"/>
      <c r="L184"/>
      <c r="M184"/>
      <c r="N184"/>
      <c r="O184"/>
    </row>
    <row r="185" spans="1:15" s="94" customFormat="1" x14ac:dyDescent="0.25">
      <c r="A185"/>
      <c r="B185" t="s">
        <v>253</v>
      </c>
      <c r="K185"/>
      <c r="L185"/>
      <c r="M185"/>
      <c r="N185"/>
      <c r="O185"/>
    </row>
    <row r="187" spans="1:15" s="94" customFormat="1" x14ac:dyDescent="0.25">
      <c r="A187"/>
      <c r="B187" t="s">
        <v>254</v>
      </c>
      <c r="K187"/>
      <c r="L187"/>
      <c r="M187"/>
      <c r="N187"/>
      <c r="O187"/>
    </row>
    <row r="188" spans="1:15" s="94" customFormat="1" x14ac:dyDescent="0.25">
      <c r="A188"/>
      <c r="B188" t="s">
        <v>255</v>
      </c>
      <c r="K188"/>
      <c r="L188"/>
      <c r="M188"/>
      <c r="N188"/>
      <c r="O188"/>
    </row>
    <row r="189" spans="1:15" s="94" customFormat="1" x14ac:dyDescent="0.25">
      <c r="A189"/>
      <c r="B189" t="s">
        <v>256</v>
      </c>
      <c r="K189"/>
      <c r="L189"/>
      <c r="M189"/>
      <c r="N189"/>
      <c r="O189"/>
    </row>
    <row r="191" spans="1:15" s="94" customFormat="1" x14ac:dyDescent="0.25">
      <c r="A191"/>
      <c r="B191" t="s">
        <v>257</v>
      </c>
      <c r="K191"/>
      <c r="L191"/>
      <c r="M191"/>
      <c r="N191"/>
      <c r="O191"/>
    </row>
    <row r="192" spans="1:15" s="94" customFormat="1" x14ac:dyDescent="0.25">
      <c r="A192"/>
      <c r="B192" t="s">
        <v>258</v>
      </c>
      <c r="K192"/>
      <c r="L192"/>
      <c r="M192"/>
      <c r="N192"/>
      <c r="O192"/>
    </row>
    <row r="193" spans="1:15" s="94" customFormat="1" x14ac:dyDescent="0.25">
      <c r="A193"/>
      <c r="B193" t="s">
        <v>259</v>
      </c>
      <c r="C193" s="94" t="s">
        <v>259</v>
      </c>
      <c r="D193" s="94" t="s">
        <v>259</v>
      </c>
      <c r="E193" s="94" t="s">
        <v>260</v>
      </c>
      <c r="F193" s="94" t="s">
        <v>261</v>
      </c>
      <c r="K193"/>
      <c r="L193"/>
      <c r="M193"/>
      <c r="N193"/>
      <c r="O193"/>
    </row>
    <row r="194" spans="1:15" s="94" customFormat="1" x14ac:dyDescent="0.25">
      <c r="A194"/>
      <c r="B194" t="s">
        <v>46</v>
      </c>
      <c r="C194" s="94" t="s">
        <v>204</v>
      </c>
      <c r="D194" s="94" t="s">
        <v>262</v>
      </c>
      <c r="E194" s="94" t="s">
        <v>263</v>
      </c>
      <c r="F194" s="94" t="s">
        <v>264</v>
      </c>
      <c r="K194"/>
      <c r="L194"/>
      <c r="M194"/>
      <c r="N194"/>
      <c r="O194"/>
    </row>
    <row r="195" spans="1:15" s="94" customFormat="1" x14ac:dyDescent="0.25">
      <c r="A195"/>
      <c r="B195" t="s">
        <v>103</v>
      </c>
      <c r="C195" s="94">
        <v>652</v>
      </c>
      <c r="D195" s="94">
        <v>194</v>
      </c>
      <c r="E195" s="94">
        <v>2.2919999999999998</v>
      </c>
      <c r="F195" s="94">
        <v>2.3439999999999999</v>
      </c>
      <c r="K195"/>
      <c r="L195"/>
      <c r="M195"/>
      <c r="N195"/>
      <c r="O195"/>
    </row>
    <row r="196" spans="1:15" s="94" customFormat="1" x14ac:dyDescent="0.25">
      <c r="A196"/>
      <c r="B196" t="s">
        <v>102</v>
      </c>
      <c r="C196" s="94">
        <v>470</v>
      </c>
      <c r="D196" s="94">
        <v>109</v>
      </c>
      <c r="E196" s="94">
        <v>3.5409999999999999</v>
      </c>
      <c r="F196" s="94">
        <v>16.811</v>
      </c>
      <c r="K196"/>
      <c r="L196"/>
      <c r="M196"/>
      <c r="N196"/>
      <c r="O196"/>
    </row>
    <row r="197" spans="1:15" s="94" customFormat="1" x14ac:dyDescent="0.25">
      <c r="A197"/>
      <c r="B197" t="s">
        <v>138</v>
      </c>
      <c r="C197" s="94">
        <v>300</v>
      </c>
      <c r="D197" s="94">
        <v>94</v>
      </c>
      <c r="E197" s="94">
        <v>2.7</v>
      </c>
      <c r="F197" s="94">
        <v>4.4619999999999997</v>
      </c>
      <c r="K197"/>
      <c r="L197"/>
      <c r="M197"/>
      <c r="N197"/>
      <c r="O197"/>
    </row>
    <row r="198" spans="1:15" s="94" customFormat="1" x14ac:dyDescent="0.25">
      <c r="A198"/>
      <c r="B198" t="s">
        <v>184</v>
      </c>
      <c r="C198" s="94">
        <v>1145</v>
      </c>
      <c r="D198" s="94">
        <v>303</v>
      </c>
      <c r="E198" s="94">
        <v>1.9019999999999999</v>
      </c>
      <c r="F198" s="94">
        <v>1.2669999999999999</v>
      </c>
      <c r="K198"/>
      <c r="L198"/>
      <c r="M198"/>
      <c r="N198"/>
      <c r="O198"/>
    </row>
    <row r="199" spans="1:15" s="94" customFormat="1" x14ac:dyDescent="0.25">
      <c r="A199"/>
      <c r="B199" t="s">
        <v>140</v>
      </c>
      <c r="C199" s="94">
        <v>1799</v>
      </c>
      <c r="D199" s="94">
        <v>416</v>
      </c>
      <c r="E199" s="94">
        <v>1.375</v>
      </c>
      <c r="F199" s="94">
        <v>0.55200000000000005</v>
      </c>
      <c r="K199"/>
      <c r="L199"/>
      <c r="M199"/>
      <c r="N199"/>
      <c r="O199"/>
    </row>
    <row r="200" spans="1:15" s="94" customFormat="1" x14ac:dyDescent="0.25">
      <c r="A200"/>
      <c r="B200" t="s">
        <v>206</v>
      </c>
      <c r="C200" s="94">
        <v>2037</v>
      </c>
      <c r="D200" s="94">
        <v>471</v>
      </c>
      <c r="E200" s="94">
        <v>0.98499999999999999</v>
      </c>
      <c r="F200" s="94">
        <v>0.29799999999999999</v>
      </c>
      <c r="K200"/>
      <c r="L200"/>
      <c r="M200"/>
      <c r="N200"/>
      <c r="O200"/>
    </row>
    <row r="201" spans="1:15" s="94" customFormat="1" x14ac:dyDescent="0.25">
      <c r="A201"/>
      <c r="B201" t="s">
        <v>207</v>
      </c>
      <c r="C201" s="94">
        <v>2153</v>
      </c>
      <c r="D201" s="94">
        <v>491</v>
      </c>
      <c r="E201" s="94">
        <v>0.85499999999999998</v>
      </c>
      <c r="F201" s="94">
        <v>0.24299999999999999</v>
      </c>
      <c r="K201"/>
      <c r="L201"/>
      <c r="M201"/>
      <c r="N201"/>
      <c r="O201"/>
    </row>
    <row r="202" spans="1:15" s="94" customFormat="1" x14ac:dyDescent="0.25">
      <c r="A202"/>
      <c r="B202" t="s">
        <v>208</v>
      </c>
      <c r="C202" s="94">
        <v>2368</v>
      </c>
      <c r="D202" s="94">
        <v>542</v>
      </c>
      <c r="E202" s="94">
        <v>0.48699999999999999</v>
      </c>
      <c r="F202" s="94">
        <v>0.13600000000000001</v>
      </c>
      <c r="K202"/>
      <c r="L202"/>
      <c r="M202"/>
      <c r="N202"/>
      <c r="O202"/>
    </row>
    <row r="203" spans="1:15" s="94" customFormat="1" x14ac:dyDescent="0.25">
      <c r="A203"/>
      <c r="B203" t="s">
        <v>209</v>
      </c>
      <c r="C203" s="94">
        <v>2480</v>
      </c>
      <c r="D203" s="94">
        <v>557</v>
      </c>
      <c r="E203" s="94">
        <v>0.38700000000000001</v>
      </c>
      <c r="F203" s="94">
        <v>0.11600000000000001</v>
      </c>
      <c r="K203"/>
      <c r="L203"/>
      <c r="M203"/>
      <c r="N203"/>
      <c r="O203"/>
    </row>
    <row r="204" spans="1:15" s="94" customFormat="1" x14ac:dyDescent="0.25">
      <c r="A204"/>
      <c r="B204" t="s">
        <v>14</v>
      </c>
      <c r="C204" s="94">
        <v>2738</v>
      </c>
      <c r="D204" s="94">
        <v>610</v>
      </c>
      <c r="E204" s="94">
        <v>0</v>
      </c>
      <c r="F204" s="94">
        <v>6.3E-2</v>
      </c>
      <c r="K204"/>
      <c r="L204"/>
      <c r="M204"/>
      <c r="N204"/>
      <c r="O204"/>
    </row>
    <row r="205" spans="1:15" s="94" customFormat="1" x14ac:dyDescent="0.25">
      <c r="A205"/>
      <c r="B205" t="s">
        <v>111</v>
      </c>
      <c r="C205" s="94">
        <v>3833.3690000000001</v>
      </c>
      <c r="D205" s="94">
        <v>803.41</v>
      </c>
      <c r="E205" s="94" t="s">
        <v>265</v>
      </c>
      <c r="F205" s="94">
        <v>5.7999999999999996E-3</v>
      </c>
      <c r="K205"/>
      <c r="L205"/>
      <c r="M205"/>
      <c r="N205"/>
      <c r="O205"/>
    </row>
    <row r="207" spans="1:15" s="94" customFormat="1" x14ac:dyDescent="0.25">
      <c r="A207"/>
      <c r="B207" t="s">
        <v>266</v>
      </c>
      <c r="K207"/>
      <c r="L207"/>
      <c r="M207"/>
      <c r="N207"/>
      <c r="O207"/>
    </row>
    <row r="208" spans="1:15" s="94" customFormat="1" x14ac:dyDescent="0.25">
      <c r="A208"/>
      <c r="B208" t="s">
        <v>267</v>
      </c>
      <c r="K208"/>
      <c r="L208"/>
      <c r="M208"/>
      <c r="N208"/>
      <c r="O208"/>
    </row>
    <row r="209" spans="1:15" s="94" customFormat="1" x14ac:dyDescent="0.25">
      <c r="A209"/>
      <c r="B209" t="s">
        <v>268</v>
      </c>
      <c r="K209"/>
      <c r="L209"/>
      <c r="M209"/>
      <c r="N209"/>
      <c r="O209"/>
    </row>
    <row r="210" spans="1:15" s="94" customFormat="1" x14ac:dyDescent="0.25">
      <c r="A210"/>
      <c r="B210" t="s">
        <v>269</v>
      </c>
      <c r="K210"/>
      <c r="L210"/>
      <c r="M210"/>
      <c r="N210"/>
      <c r="O210"/>
    </row>
    <row r="211" spans="1:15" s="94" customFormat="1" x14ac:dyDescent="0.25">
      <c r="A211"/>
      <c r="B211" t="s">
        <v>270</v>
      </c>
      <c r="K211"/>
      <c r="L211"/>
      <c r="M211"/>
      <c r="N211"/>
      <c r="O211"/>
    </row>
    <row r="212" spans="1:15" s="94" customFormat="1" x14ac:dyDescent="0.25">
      <c r="A212"/>
      <c r="B212" t="s">
        <v>271</v>
      </c>
      <c r="K212"/>
      <c r="L212"/>
      <c r="M212"/>
      <c r="N212"/>
      <c r="O212"/>
    </row>
    <row r="213" spans="1:15" s="94" customFormat="1" x14ac:dyDescent="0.25">
      <c r="A213"/>
      <c r="B213" t="s">
        <v>272</v>
      </c>
      <c r="K213"/>
      <c r="L213"/>
      <c r="M213"/>
      <c r="N213"/>
      <c r="O213"/>
    </row>
    <row r="214" spans="1:15" s="94" customFormat="1" x14ac:dyDescent="0.25">
      <c r="A214"/>
      <c r="B214" t="s">
        <v>273</v>
      </c>
      <c r="K214"/>
      <c r="L214"/>
      <c r="M214"/>
      <c r="N214"/>
      <c r="O214"/>
    </row>
    <row r="215" spans="1:15" s="94" customFormat="1" x14ac:dyDescent="0.25">
      <c r="A215"/>
      <c r="B215" t="s">
        <v>274</v>
      </c>
      <c r="K215"/>
      <c r="L215"/>
      <c r="M215"/>
      <c r="N215"/>
      <c r="O215"/>
    </row>
    <row r="216" spans="1:15" s="94" customFormat="1" x14ac:dyDescent="0.25">
      <c r="A216"/>
      <c r="B216" t="s">
        <v>46</v>
      </c>
      <c r="C216" s="94" t="s">
        <v>236</v>
      </c>
      <c r="D216" s="94" t="s">
        <v>261</v>
      </c>
      <c r="E216" s="94" t="s">
        <v>275</v>
      </c>
      <c r="F216" s="94" t="s">
        <v>276</v>
      </c>
      <c r="G216" s="94" t="s">
        <v>277</v>
      </c>
      <c r="K216"/>
      <c r="L216"/>
      <c r="M216"/>
      <c r="N216"/>
      <c r="O216"/>
    </row>
    <row r="217" spans="1:15" s="94" customFormat="1" x14ac:dyDescent="0.25">
      <c r="A217"/>
      <c r="B217" t="s">
        <v>103</v>
      </c>
      <c r="C217" s="94">
        <v>8.0000000000000004E-4</v>
      </c>
      <c r="D217" s="94">
        <v>3.5089999999999999</v>
      </c>
      <c r="E217" s="94">
        <v>5.0000000000000001E-4</v>
      </c>
      <c r="F217" s="94">
        <v>1.8E-3</v>
      </c>
      <c r="G217" s="94">
        <v>44</v>
      </c>
      <c r="K217"/>
      <c r="L217"/>
      <c r="M217"/>
      <c r="N217"/>
      <c r="O217"/>
    </row>
    <row r="218" spans="1:15" s="94" customFormat="1" x14ac:dyDescent="0.25">
      <c r="A218"/>
      <c r="B218" t="s">
        <v>102</v>
      </c>
      <c r="C218" s="94">
        <v>1.6400000000000001E-2</v>
      </c>
      <c r="D218" s="94">
        <v>39.9</v>
      </c>
      <c r="E218" s="94">
        <v>1.4E-3</v>
      </c>
      <c r="F218" s="94">
        <v>5.5199999999999999E-2</v>
      </c>
      <c r="G218" s="94">
        <v>28</v>
      </c>
      <c r="K218"/>
      <c r="L218"/>
      <c r="M218"/>
      <c r="N218"/>
      <c r="O218"/>
    </row>
    <row r="219" spans="1:15" s="94" customFormat="1" x14ac:dyDescent="0.25">
      <c r="A219"/>
      <c r="B219" t="s">
        <v>138</v>
      </c>
      <c r="C219" s="94">
        <v>0.28399999999999997</v>
      </c>
      <c r="D219" s="94">
        <v>8.85</v>
      </c>
      <c r="E219" s="94">
        <v>8.8999999999999996E-2</v>
      </c>
      <c r="F219" s="94">
        <v>0.78769999999999996</v>
      </c>
      <c r="G219" s="94">
        <v>16</v>
      </c>
      <c r="K219"/>
      <c r="L219"/>
      <c r="M219"/>
      <c r="N219"/>
      <c r="O219"/>
    </row>
    <row r="220" spans="1:15" s="94" customFormat="1" x14ac:dyDescent="0.25">
      <c r="A220"/>
      <c r="B220" t="s">
        <v>184</v>
      </c>
      <c r="C220" s="94">
        <v>7.1599999999999997E-2</v>
      </c>
      <c r="D220" s="94">
        <v>1.349</v>
      </c>
      <c r="E220" s="94">
        <v>6.5199999999999994E-2</v>
      </c>
      <c r="F220" s="94">
        <v>8.7999999999999995E-2</v>
      </c>
      <c r="G220" s="94">
        <v>30</v>
      </c>
      <c r="K220"/>
      <c r="L220"/>
      <c r="M220"/>
      <c r="N220"/>
      <c r="O220"/>
    </row>
    <row r="221" spans="1:15" s="94" customFormat="1" x14ac:dyDescent="0.25">
      <c r="A221"/>
      <c r="B221" t="s">
        <v>140</v>
      </c>
      <c r="C221" s="94">
        <v>0.1048</v>
      </c>
      <c r="D221" s="94">
        <v>0.373</v>
      </c>
      <c r="E221" s="94">
        <v>0.127</v>
      </c>
      <c r="F221" s="94">
        <v>4.7399999999999998E-2</v>
      </c>
      <c r="G221" s="94">
        <v>44</v>
      </c>
      <c r="K221"/>
      <c r="L221"/>
      <c r="M221"/>
      <c r="N221"/>
      <c r="O221"/>
    </row>
    <row r="222" spans="1:15" s="94" customFormat="1" x14ac:dyDescent="0.25">
      <c r="A222"/>
      <c r="B222" t="s">
        <v>278</v>
      </c>
      <c r="C222" s="94">
        <v>4.2000000000000003E-2</v>
      </c>
      <c r="D222" s="94">
        <v>0.161</v>
      </c>
      <c r="E222" s="94">
        <v>5.4800000000000001E-2</v>
      </c>
      <c r="F222" s="94">
        <v>8.8000000000000005E-3</v>
      </c>
      <c r="G222" s="94">
        <v>58</v>
      </c>
      <c r="K222"/>
      <c r="L222"/>
      <c r="M222"/>
      <c r="N222"/>
      <c r="O222"/>
    </row>
    <row r="223" spans="1:15" s="94" customFormat="1" x14ac:dyDescent="0.25">
      <c r="A223"/>
      <c r="B223" t="s">
        <v>279</v>
      </c>
      <c r="C223" s="94">
        <v>4.2000000000000003E-2</v>
      </c>
      <c r="D223" s="94">
        <v>0.12</v>
      </c>
      <c r="E223" s="94">
        <v>5.57E-2</v>
      </c>
      <c r="F223" s="94">
        <v>6.7000000000000002E-3</v>
      </c>
      <c r="G223" s="94">
        <v>58</v>
      </c>
      <c r="K223"/>
      <c r="L223"/>
      <c r="M223"/>
      <c r="N223"/>
      <c r="O223"/>
    </row>
    <row r="224" spans="1:15" s="94" customFormat="1" x14ac:dyDescent="0.25">
      <c r="A224"/>
      <c r="B224" t="s">
        <v>280</v>
      </c>
      <c r="C224" s="94">
        <v>1.9099999999999999E-2</v>
      </c>
      <c r="D224" s="94">
        <v>5.3999999999999999E-2</v>
      </c>
      <c r="E224" s="94">
        <v>2.5899999999999999E-2</v>
      </c>
      <c r="F224" s="94">
        <v>1.4E-3</v>
      </c>
      <c r="G224" s="94">
        <v>72</v>
      </c>
      <c r="K224"/>
      <c r="L224"/>
      <c r="M224"/>
      <c r="N224"/>
      <c r="O224"/>
    </row>
    <row r="225" spans="1:15" s="94" customFormat="1" x14ac:dyDescent="0.25">
      <c r="A225"/>
      <c r="B225" t="s">
        <v>281</v>
      </c>
      <c r="C225" s="94">
        <v>1.9099999999999999E-2</v>
      </c>
      <c r="D225" s="94">
        <v>4.2999999999999997E-2</v>
      </c>
      <c r="E225" s="94">
        <v>2.6100000000000002E-2</v>
      </c>
      <c r="F225" s="94">
        <v>1.1000000000000001E-3</v>
      </c>
      <c r="G225" s="94">
        <v>72</v>
      </c>
      <c r="K225"/>
      <c r="L225"/>
      <c r="M225"/>
      <c r="N225"/>
      <c r="O225"/>
    </row>
    <row r="226" spans="1:15" s="94" customFormat="1" x14ac:dyDescent="0.25">
      <c r="A226"/>
      <c r="B226" t="s">
        <v>14</v>
      </c>
      <c r="C226" s="94">
        <v>4.0500000000000001E-2</v>
      </c>
      <c r="D226" s="94">
        <v>1.7999999999999999E-2</v>
      </c>
      <c r="E226" s="94">
        <v>5.5800000000000002E-2</v>
      </c>
      <c r="F226" s="94">
        <v>1E-3</v>
      </c>
      <c r="G226" s="94">
        <v>86</v>
      </c>
      <c r="K226"/>
      <c r="L226"/>
      <c r="M226"/>
      <c r="N226"/>
      <c r="O226"/>
    </row>
    <row r="227" spans="1:15" s="94" customFormat="1" x14ac:dyDescent="0.25">
      <c r="A227"/>
      <c r="B227" t="s">
        <v>111</v>
      </c>
      <c r="C227" s="94">
        <v>0.35970000000000002</v>
      </c>
      <c r="D227" s="94">
        <v>2.0999999999999999E-3</v>
      </c>
      <c r="E227" s="94">
        <v>0.49859999999999999</v>
      </c>
      <c r="F227" s="94">
        <v>8.9999999999999998E-4</v>
      </c>
      <c r="G227" s="94">
        <v>252</v>
      </c>
      <c r="K227"/>
      <c r="L227"/>
      <c r="M227"/>
      <c r="N227"/>
      <c r="O227"/>
    </row>
    <row r="228" spans="1:15" s="94" customFormat="1" x14ac:dyDescent="0.25">
      <c r="A228"/>
      <c r="B228"/>
      <c r="K228"/>
      <c r="L228"/>
      <c r="M228"/>
      <c r="N228"/>
      <c r="O228"/>
    </row>
    <row r="229" spans="1:15" s="94" customFormat="1" x14ac:dyDescent="0.25">
      <c r="A229"/>
      <c r="B229"/>
      <c r="K229"/>
      <c r="L229"/>
      <c r="M229"/>
      <c r="N229"/>
      <c r="O229"/>
    </row>
    <row r="230" spans="1:15" s="94" customFormat="1" ht="18.75" x14ac:dyDescent="0.3">
      <c r="A230"/>
      <c r="B230" s="153" t="s">
        <v>286</v>
      </c>
      <c r="K230"/>
      <c r="L230"/>
      <c r="M230"/>
      <c r="N230"/>
      <c r="O230"/>
    </row>
    <row r="232" spans="1:15" x14ac:dyDescent="0.25">
      <c r="B232" t="s">
        <v>287</v>
      </c>
    </row>
    <row r="233" spans="1:15" x14ac:dyDescent="0.25">
      <c r="B233" t="s">
        <v>288</v>
      </c>
    </row>
    <row r="235" spans="1:15" ht="15.75" thickBot="1" x14ac:dyDescent="0.3">
      <c r="D235" s="152"/>
      <c r="E235" s="152" t="s">
        <v>283</v>
      </c>
      <c r="F235" s="152"/>
    </row>
    <row r="236" spans="1:15" x14ac:dyDescent="0.25">
      <c r="B236" s="150" t="s">
        <v>284</v>
      </c>
      <c r="C236" s="150" t="s">
        <v>285</v>
      </c>
      <c r="D236" s="150" t="s">
        <v>282</v>
      </c>
      <c r="E236" s="150" t="s">
        <v>175</v>
      </c>
      <c r="F236" s="150" t="s">
        <v>176</v>
      </c>
    </row>
    <row r="237" spans="1:15" x14ac:dyDescent="0.25">
      <c r="B237" s="147">
        <v>40</v>
      </c>
      <c r="C237" s="147">
        <v>1000</v>
      </c>
      <c r="D237" s="147">
        <v>0.96599999999999997</v>
      </c>
      <c r="E237" s="147">
        <v>0.96789999999999998</v>
      </c>
      <c r="F237" s="147">
        <v>0.86890000000000001</v>
      </c>
    </row>
    <row r="238" spans="1:15" x14ac:dyDescent="0.25">
      <c r="B238" s="147">
        <v>40</v>
      </c>
      <c r="C238" s="147">
        <v>800</v>
      </c>
      <c r="D238" s="147">
        <v>0.97</v>
      </c>
      <c r="E238" s="147">
        <v>0.96950000000000003</v>
      </c>
      <c r="F238" s="147">
        <v>0.90649999999999997</v>
      </c>
    </row>
    <row r="239" spans="1:15" x14ac:dyDescent="0.25">
      <c r="B239" s="147">
        <v>40</v>
      </c>
      <c r="C239" s="147">
        <v>600</v>
      </c>
      <c r="D239" s="147">
        <v>0.97899999999999998</v>
      </c>
      <c r="E239" s="147">
        <v>0.97719999999999996</v>
      </c>
      <c r="F239" s="147">
        <v>0.94079999999999997</v>
      </c>
    </row>
    <row r="240" spans="1:15" x14ac:dyDescent="0.25">
      <c r="B240" s="147">
        <v>40</v>
      </c>
      <c r="C240" s="148">
        <v>400</v>
      </c>
      <c r="D240" s="147">
        <v>0.98899999999999999</v>
      </c>
      <c r="E240" s="147">
        <v>0.98929999999999996</v>
      </c>
      <c r="F240" s="147">
        <v>0.97140000000000004</v>
      </c>
    </row>
    <row r="241" spans="2:6" x14ac:dyDescent="0.25">
      <c r="B241" s="147">
        <v>40</v>
      </c>
      <c r="C241" s="149">
        <v>200</v>
      </c>
      <c r="D241" s="151">
        <v>0.998</v>
      </c>
      <c r="E241" s="151">
        <v>1</v>
      </c>
      <c r="F241" s="147">
        <v>0.99509999999999998</v>
      </c>
    </row>
    <row r="242" spans="2:6" x14ac:dyDescent="0.25">
      <c r="B242" s="147"/>
      <c r="C242" s="147"/>
      <c r="D242" s="147"/>
      <c r="E242" s="147"/>
      <c r="F242" s="147"/>
    </row>
    <row r="243" spans="2:6" x14ac:dyDescent="0.25">
      <c r="B243" s="147"/>
      <c r="C243" s="147"/>
      <c r="D243" s="147"/>
      <c r="E243" s="147"/>
      <c r="F243" s="147"/>
    </row>
    <row r="244" spans="2:6" x14ac:dyDescent="0.25">
      <c r="B244" s="147"/>
      <c r="C244" s="147"/>
      <c r="D244" s="147"/>
      <c r="E244" s="147"/>
      <c r="F244" s="147"/>
    </row>
    <row r="252" spans="2:6" ht="15.75" thickBot="1" x14ac:dyDescent="0.3">
      <c r="B252" s="147"/>
      <c r="C252" s="147"/>
      <c r="D252" s="152"/>
      <c r="E252" s="152" t="s">
        <v>283</v>
      </c>
      <c r="F252" s="152"/>
    </row>
    <row r="253" spans="2:6" x14ac:dyDescent="0.25">
      <c r="B253" s="150" t="s">
        <v>284</v>
      </c>
      <c r="C253" s="150" t="s">
        <v>285</v>
      </c>
      <c r="D253" s="150" t="s">
        <v>282</v>
      </c>
      <c r="E253" s="150" t="s">
        <v>175</v>
      </c>
      <c r="F253" s="150" t="s">
        <v>176</v>
      </c>
    </row>
    <row r="254" spans="2:6" x14ac:dyDescent="0.25">
      <c r="B254" s="147">
        <v>80</v>
      </c>
      <c r="C254" s="147">
        <v>1000</v>
      </c>
      <c r="D254" s="147">
        <v>1</v>
      </c>
      <c r="E254" s="147">
        <v>0.99929999999999997</v>
      </c>
      <c r="F254" s="147">
        <v>0.94140000000000001</v>
      </c>
    </row>
    <row r="255" spans="2:6" x14ac:dyDescent="0.25">
      <c r="B255" s="147">
        <v>80</v>
      </c>
      <c r="C255" s="147">
        <v>800</v>
      </c>
      <c r="D255" s="147">
        <v>1</v>
      </c>
      <c r="E255" s="147">
        <v>0.99890000000000001</v>
      </c>
      <c r="F255" s="147">
        <v>0.96340000000000003</v>
      </c>
    </row>
    <row r="256" spans="2:6" x14ac:dyDescent="0.25">
      <c r="B256" s="147">
        <v>80</v>
      </c>
      <c r="C256" s="147">
        <v>600</v>
      </c>
      <c r="D256" s="147">
        <v>1</v>
      </c>
      <c r="E256" s="147">
        <v>1</v>
      </c>
      <c r="F256" s="147">
        <v>0.98199999999999998</v>
      </c>
    </row>
    <row r="257" spans="2:6" x14ac:dyDescent="0.25">
      <c r="B257" s="147">
        <v>80</v>
      </c>
      <c r="C257" s="148">
        <v>400</v>
      </c>
      <c r="D257" s="147">
        <v>1</v>
      </c>
      <c r="E257" s="147">
        <v>1</v>
      </c>
      <c r="F257" s="147">
        <v>0.99570000000000003</v>
      </c>
    </row>
    <row r="258" spans="2:6" x14ac:dyDescent="0.25">
      <c r="B258" s="147">
        <v>80</v>
      </c>
      <c r="C258" s="149">
        <v>200</v>
      </c>
      <c r="D258" s="151">
        <v>1</v>
      </c>
      <c r="E258" s="151">
        <v>1</v>
      </c>
      <c r="F258" s="147">
        <v>0.99970000000000003</v>
      </c>
    </row>
  </sheetData>
  <sortState xmlns:xlrd2="http://schemas.microsoft.com/office/spreadsheetml/2017/richdata2" ref="B237:F252">
    <sortCondition ref="B237:B252"/>
  </sortState>
  <mergeCells count="1">
    <mergeCell ref="G26:I26"/>
  </mergeCells>
  <hyperlinks>
    <hyperlink ref="B2" r:id="rId1" xr:uid="{E8617174-958F-4F79-A602-1D0F8D118FAC}"/>
    <hyperlink ref="B86" r:id="rId2" display="https://www.sciencedirect.com/topics/engineering/standing-correlation" xr:uid="{8B1270FF-64F9-44C5-B167-D0ED7C95707A}"/>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Commentary</vt:lpstr>
      <vt:lpstr>HDP</vt:lpstr>
      <vt:lpstr>Properties</vt:lpstr>
      <vt:lpstr>Compositions</vt:lpstr>
      <vt:lpstr>Flash</vt:lpstr>
      <vt:lpstr>Flash!mL</vt:lpstr>
      <vt:lpstr>Compositions!Print_Area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Landon</dc:creator>
  <cp:lastModifiedBy>gloria landon</cp:lastModifiedBy>
  <dcterms:created xsi:type="dcterms:W3CDTF">2025-08-15T15:39:56Z</dcterms:created>
  <dcterms:modified xsi:type="dcterms:W3CDTF">2025-10-05T03:25:11Z</dcterms:modified>
</cp:coreProperties>
</file>