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yne_z8780x5\Documents\Engineering Models final\"/>
    </mc:Choice>
  </mc:AlternateContent>
  <xr:revisionPtr revIDLastSave="0" documentId="13_ncr:1_{ABBAABB9-8FB1-4042-B3BF-910203647277}" xr6:coauthVersionLast="47" xr6:coauthVersionMax="47" xr10:uidLastSave="{00000000-0000-0000-0000-000000000000}"/>
  <bookViews>
    <workbookView xWindow="135" yWindow="135" windowWidth="20355" windowHeight="10665" firstSheet="10" activeTab="10" xr2:uid="{00000000-000D-0000-FFFF-FFFF00000000}"/>
  </bookViews>
  <sheets>
    <sheet name="Design Basis" sheetId="1" r:id="rId1"/>
    <sheet name="Plant Op Exp" sheetId="6" r:id="rId2"/>
    <sheet name="Field Op Exp" sheetId="17" r:id="rId3"/>
    <sheet name="Gathering Drwg" sheetId="14" r:id="rId4"/>
    <sheet name="Booster Drwg" sheetId="12" r:id="rId5"/>
    <sheet name="Plant Inlet Drwg" sheetId="11" r:id="rId6"/>
    <sheet name="Cryo Plt Drwg" sheetId="3" r:id="rId7"/>
    <sheet name="Refrig Drwg" sheetId="4" r:id="rId8"/>
    <sheet name="Acid Gas Drwg" sheetId="13" r:id="rId9"/>
    <sheet name="Hp Est Tool" sheetId="8" r:id="rId10"/>
    <sheet name="Prop Est" sheetId="9" r:id="rId11"/>
    <sheet name="Flash" sheetId="20" state="hidden" r:id="rId12"/>
    <sheet name="K values" sheetId="21" state="hidden" r:id="rId13"/>
    <sheet name="Flash (2)" sheetId="22" state="hidden" r:id="rId14"/>
    <sheet name="K values (2)" sheetId="23" state="hidden" r:id="rId15"/>
    <sheet name="Cryo Prop Est" sheetId="16" r:id="rId16"/>
    <sheet name="HDP" sheetId="10" r:id="rId17"/>
    <sheet name="Water Content" sheetId="15" r:id="rId18"/>
    <sheet name="Dropout Chart" sheetId="19" r:id="rId19"/>
    <sheet name="Sheet2" sheetId="18" state="hidden" r:id="rId20"/>
  </sheets>
  <definedNames>
    <definedName name="mL">Flash!$F$23</definedName>
    <definedName name="mM">'Flash (2)'!$F$23</definedName>
    <definedName name="_xlnm.Print_Area" localSheetId="18">'Dropout Chart'!$A$2:$R$35</definedName>
    <definedName name="_xlnm.Print_Area" localSheetId="1">'Plant Op Exp'!$A$1:$I$69</definedName>
    <definedName name="solver_adj" localSheetId="11" hidden="1">Flash!$F$23</definedName>
    <definedName name="solver_adj" localSheetId="13" hidden="1">'Flash (2)'!$F$23</definedName>
    <definedName name="solver_cvg" localSheetId="11" hidden="1">0.0001</definedName>
    <definedName name="solver_cvg" localSheetId="13" hidden="1">0.0001</definedName>
    <definedName name="solver_drv" localSheetId="11" hidden="1">2</definedName>
    <definedName name="solver_drv" localSheetId="13" hidden="1">2</definedName>
    <definedName name="solver_eng" localSheetId="11" hidden="1">1</definedName>
    <definedName name="solver_eng" localSheetId="13" hidden="1">1</definedName>
    <definedName name="solver_est" localSheetId="11" hidden="1">1</definedName>
    <definedName name="solver_est" localSheetId="13" hidden="1">1</definedName>
    <definedName name="solver_itr" localSheetId="11" hidden="1">2147483647</definedName>
    <definedName name="solver_itr" localSheetId="13" hidden="1">2147483647</definedName>
    <definedName name="solver_lhs1" localSheetId="11" hidden="1">Flash!$F$23</definedName>
    <definedName name="solver_lhs1" localSheetId="13" hidden="1">'Flash (2)'!$F$23</definedName>
    <definedName name="solver_lhs2" localSheetId="11" hidden="1">Flash!$F$23</definedName>
    <definedName name="solver_lhs2" localSheetId="13" hidden="1">'Flash (2)'!$F$23</definedName>
    <definedName name="solver_mip" localSheetId="11" hidden="1">2147483647</definedName>
    <definedName name="solver_mip" localSheetId="13" hidden="1">2147483647</definedName>
    <definedName name="solver_mni" localSheetId="11" hidden="1">30</definedName>
    <definedName name="solver_mni" localSheetId="13" hidden="1">30</definedName>
    <definedName name="solver_mrt" localSheetId="11" hidden="1">0.075</definedName>
    <definedName name="solver_mrt" localSheetId="13" hidden="1">0.075</definedName>
    <definedName name="solver_msl" localSheetId="11" hidden="1">2</definedName>
    <definedName name="solver_msl" localSheetId="13" hidden="1">2</definedName>
    <definedName name="solver_neg" localSheetId="11" hidden="1">1</definedName>
    <definedName name="solver_neg" localSheetId="13" hidden="1">1</definedName>
    <definedName name="solver_nod" localSheetId="11" hidden="1">2147483647</definedName>
    <definedName name="solver_nod" localSheetId="13" hidden="1">2147483647</definedName>
    <definedName name="solver_num" localSheetId="11" hidden="1">2</definedName>
    <definedName name="solver_num" localSheetId="13" hidden="1">2</definedName>
    <definedName name="solver_nwt" localSheetId="11" hidden="1">1</definedName>
    <definedName name="solver_nwt" localSheetId="13" hidden="1">1</definedName>
    <definedName name="solver_opt" localSheetId="11" hidden="1">Flash!$F$20</definedName>
    <definedName name="solver_opt" localSheetId="13" hidden="1">'Flash (2)'!$F$20</definedName>
    <definedName name="solver_pre" localSheetId="11" hidden="1">0.00000001</definedName>
    <definedName name="solver_pre" localSheetId="13" hidden="1">0.00000001</definedName>
    <definedName name="solver_rbv" localSheetId="11" hidden="1">2</definedName>
    <definedName name="solver_rbv" localSheetId="13" hidden="1">2</definedName>
    <definedName name="solver_rel1" localSheetId="11" hidden="1">1</definedName>
    <definedName name="solver_rel1" localSheetId="13" hidden="1">1</definedName>
    <definedName name="solver_rel2" localSheetId="11" hidden="1">3</definedName>
    <definedName name="solver_rel2" localSheetId="13" hidden="1">3</definedName>
    <definedName name="solver_rhs1" localSheetId="11" hidden="1">1</definedName>
    <definedName name="solver_rhs1" localSheetId="13" hidden="1">1</definedName>
    <definedName name="solver_rhs2" localSheetId="11" hidden="1">0</definedName>
    <definedName name="solver_rhs2" localSheetId="13" hidden="1">0</definedName>
    <definedName name="solver_rlx" localSheetId="11" hidden="1">2</definedName>
    <definedName name="solver_rlx" localSheetId="13" hidden="1">2</definedName>
    <definedName name="solver_rsd" localSheetId="11" hidden="1">0</definedName>
    <definedName name="solver_rsd" localSheetId="13" hidden="1">0</definedName>
    <definedName name="solver_scl" localSheetId="11" hidden="1">2</definedName>
    <definedName name="solver_scl" localSheetId="13" hidden="1">2</definedName>
    <definedName name="solver_sho" localSheetId="11" hidden="1">2</definedName>
    <definedName name="solver_sho" localSheetId="13" hidden="1">2</definedName>
    <definedName name="solver_ssz" localSheetId="11" hidden="1">100</definedName>
    <definedName name="solver_ssz" localSheetId="13" hidden="1">100</definedName>
    <definedName name="solver_tim" localSheetId="11" hidden="1">2147483647</definedName>
    <definedName name="solver_tim" localSheetId="13" hidden="1">2147483647</definedName>
    <definedName name="solver_tol" localSheetId="11" hidden="1">0.01</definedName>
    <definedName name="solver_tol" localSheetId="13" hidden="1">0.01</definedName>
    <definedName name="solver_typ" localSheetId="11" hidden="1">3</definedName>
    <definedName name="solver_typ" localSheetId="13" hidden="1">3</definedName>
    <definedName name="solver_val" localSheetId="11" hidden="1">0</definedName>
    <definedName name="solver_val" localSheetId="13" hidden="1">0</definedName>
    <definedName name="solver_ver" localSheetId="11" hidden="1">3</definedName>
    <definedName name="solver_ver" localSheetId="13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7" l="1"/>
  <c r="L21" i="17"/>
  <c r="D9" i="17"/>
  <c r="D8" i="17"/>
  <c r="D7" i="17"/>
  <c r="I92" i="11"/>
  <c r="B6" i="22"/>
  <c r="B11" i="23" s="1"/>
  <c r="B5" i="22"/>
  <c r="G35" i="23"/>
  <c r="G34" i="23"/>
  <c r="G33" i="23"/>
  <c r="G32" i="23"/>
  <c r="G31" i="23"/>
  <c r="G30" i="23"/>
  <c r="G29" i="23"/>
  <c r="H28" i="23"/>
  <c r="G28" i="23" s="1"/>
  <c r="H27" i="23"/>
  <c r="G27" i="23"/>
  <c r="H26" i="23"/>
  <c r="G26" i="23" s="1"/>
  <c r="B20" i="23"/>
  <c r="B18" i="23"/>
  <c r="B19" i="23" s="1"/>
  <c r="G36" i="23" s="1"/>
  <c r="B9" i="23"/>
  <c r="I27" i="23" s="1"/>
  <c r="B5" i="20"/>
  <c r="B9" i="21" s="1"/>
  <c r="E12" i="20"/>
  <c r="E13" i="20"/>
  <c r="E14" i="20"/>
  <c r="E15" i="20"/>
  <c r="E16" i="20"/>
  <c r="E17" i="20"/>
  <c r="E18" i="20"/>
  <c r="E19" i="20"/>
  <c r="E11" i="20"/>
  <c r="E10" i="20"/>
  <c r="E9" i="20"/>
  <c r="G35" i="21"/>
  <c r="G34" i="21"/>
  <c r="G33" i="21"/>
  <c r="G32" i="21"/>
  <c r="G31" i="21"/>
  <c r="G30" i="21"/>
  <c r="G29" i="21"/>
  <c r="H28" i="21"/>
  <c r="G28" i="21" s="1"/>
  <c r="H27" i="21"/>
  <c r="G27" i="21" s="1"/>
  <c r="H26" i="21"/>
  <c r="G26" i="21" s="1"/>
  <c r="B18" i="21"/>
  <c r="B19" i="21" s="1"/>
  <c r="G36" i="21" s="1"/>
  <c r="B20" i="21" l="1"/>
  <c r="I36" i="23"/>
  <c r="I30" i="23"/>
  <c r="I34" i="23"/>
  <c r="I29" i="23"/>
  <c r="I33" i="23"/>
  <c r="I31" i="23"/>
  <c r="I35" i="23"/>
  <c r="I26" i="23"/>
  <c r="I28" i="23"/>
  <c r="I32" i="23"/>
  <c r="K36" i="23"/>
  <c r="K35" i="23"/>
  <c r="K34" i="23"/>
  <c r="K33" i="23"/>
  <c r="K32" i="23"/>
  <c r="K31" i="23"/>
  <c r="K30" i="23"/>
  <c r="K29" i="23"/>
  <c r="K28" i="23"/>
  <c r="K27" i="23"/>
  <c r="K26" i="23"/>
  <c r="B17" i="23"/>
  <c r="B16" i="23"/>
  <c r="I26" i="21"/>
  <c r="I29" i="21"/>
  <c r="I33" i="21"/>
  <c r="I28" i="21"/>
  <c r="I32" i="21"/>
  <c r="I30" i="21"/>
  <c r="I34" i="21"/>
  <c r="I36" i="21"/>
  <c r="I27" i="21"/>
  <c r="I31" i="21"/>
  <c r="I35" i="21"/>
  <c r="E20" i="20"/>
  <c r="J32" i="23" l="1"/>
  <c r="C15" i="22" s="1"/>
  <c r="J35" i="23"/>
  <c r="C18" i="22" s="1"/>
  <c r="J36" i="23"/>
  <c r="C19" i="22" s="1"/>
  <c r="J28" i="23"/>
  <c r="C11" i="22" s="1"/>
  <c r="J29" i="23"/>
  <c r="C12" i="22" s="1"/>
  <c r="J33" i="23"/>
  <c r="C16" i="22" s="1"/>
  <c r="J27" i="23"/>
  <c r="C10" i="22" s="1"/>
  <c r="J30" i="23"/>
  <c r="C13" i="22" s="1"/>
  <c r="J34" i="23"/>
  <c r="C17" i="22" s="1"/>
  <c r="J26" i="23"/>
  <c r="C9" i="22" s="1"/>
  <c r="J31" i="23"/>
  <c r="C14" i="22" s="1"/>
  <c r="P62" i="16" l="1"/>
  <c r="P61" i="16"/>
  <c r="P60" i="16"/>
  <c r="P59" i="16"/>
  <c r="P58" i="16"/>
  <c r="P57" i="16"/>
  <c r="P56" i="16"/>
  <c r="P55" i="16"/>
  <c r="P54" i="16"/>
  <c r="P53" i="16"/>
  <c r="P52" i="16"/>
  <c r="P51" i="16"/>
  <c r="P5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E42" i="3" l="1"/>
  <c r="E41" i="3"/>
  <c r="Q69" i="8"/>
  <c r="Q21" i="8"/>
  <c r="V72" i="11"/>
  <c r="E55" i="3" s="1"/>
  <c r="V73" i="11"/>
  <c r="V74" i="11"/>
  <c r="U72" i="11"/>
  <c r="P46" i="11"/>
  <c r="E25" i="6" s="1"/>
  <c r="AC37" i="15" l="1"/>
  <c r="Z37" i="15" s="1"/>
  <c r="Z40" i="15" s="1"/>
  <c r="M57" i="11" l="1"/>
  <c r="F53" i="11"/>
  <c r="H53" i="11" s="1"/>
  <c r="C19" i="9"/>
  <c r="C5" i="9"/>
  <c r="AM5" i="9" s="1"/>
  <c r="C6" i="9"/>
  <c r="AM6" i="9" s="1"/>
  <c r="C7" i="9"/>
  <c r="C8" i="9"/>
  <c r="C9" i="9"/>
  <c r="C10" i="9"/>
  <c r="C11" i="9"/>
  <c r="C12" i="9"/>
  <c r="C13" i="9"/>
  <c r="C14" i="9"/>
  <c r="C4" i="9"/>
  <c r="AM4" i="9" s="1"/>
  <c r="K53" i="11" l="1"/>
  <c r="H55" i="11"/>
  <c r="S20" i="10"/>
  <c r="T20" i="10"/>
  <c r="U20" i="10" s="1"/>
  <c r="R20" i="10" s="1"/>
  <c r="S21" i="10"/>
  <c r="T21" i="10"/>
  <c r="U21" i="10" s="1"/>
  <c r="R21" i="10" s="1"/>
  <c r="S22" i="10"/>
  <c r="T22" i="10"/>
  <c r="S23" i="10"/>
  <c r="T23" i="10"/>
  <c r="S24" i="10"/>
  <c r="T24" i="10"/>
  <c r="U24" i="10" s="1"/>
  <c r="R24" i="10" s="1"/>
  <c r="S25" i="10"/>
  <c r="T25" i="10"/>
  <c r="U25" i="10" s="1"/>
  <c r="R25" i="10" s="1"/>
  <c r="S26" i="10"/>
  <c r="T26" i="10"/>
  <c r="S27" i="10"/>
  <c r="T27" i="10"/>
  <c r="S28" i="10"/>
  <c r="T28" i="10"/>
  <c r="U28" i="10" s="1"/>
  <c r="R28" i="10" s="1"/>
  <c r="S29" i="10"/>
  <c r="T29" i="10"/>
  <c r="U29" i="10" s="1"/>
  <c r="R29" i="10" s="1"/>
  <c r="S30" i="10"/>
  <c r="T30" i="10"/>
  <c r="S31" i="10"/>
  <c r="T31" i="10"/>
  <c r="S32" i="10"/>
  <c r="T32" i="10"/>
  <c r="U32" i="10" s="1"/>
  <c r="R32" i="10" s="1"/>
  <c r="T19" i="10"/>
  <c r="U19" i="10" s="1"/>
  <c r="R19" i="10" s="1"/>
  <c r="S19" i="10"/>
  <c r="F55" i="11"/>
  <c r="E55" i="11"/>
  <c r="D58" i="11"/>
  <c r="E58" i="11" s="1"/>
  <c r="F58" i="11" s="1"/>
  <c r="D73" i="11"/>
  <c r="E73" i="11" s="1"/>
  <c r="D74" i="11"/>
  <c r="E74" i="11" s="1"/>
  <c r="W37" i="15"/>
  <c r="T37" i="15" s="1"/>
  <c r="T40" i="15" s="1"/>
  <c r="R7" i="12"/>
  <c r="I24" i="14"/>
  <c r="H75" i="11"/>
  <c r="I75" i="11"/>
  <c r="J75" i="11"/>
  <c r="G75" i="11"/>
  <c r="K52" i="12"/>
  <c r="J52" i="12"/>
  <c r="I52" i="12"/>
  <c r="G52" i="12"/>
  <c r="F33" i="12"/>
  <c r="L33" i="12"/>
  <c r="F50" i="12"/>
  <c r="F51" i="12"/>
  <c r="G58" i="11" l="1"/>
  <c r="A19" i="11"/>
  <c r="U31" i="10"/>
  <c r="R31" i="10"/>
  <c r="U27" i="10"/>
  <c r="R27" i="10" s="1"/>
  <c r="U23" i="10"/>
  <c r="R23" i="10"/>
  <c r="U30" i="10"/>
  <c r="R30" i="10" s="1"/>
  <c r="U26" i="10"/>
  <c r="R26" i="10"/>
  <c r="U22" i="10"/>
  <c r="R22" i="10" s="1"/>
  <c r="M53" i="11"/>
  <c r="M55" i="11" s="1"/>
  <c r="K11" i="6" s="1"/>
  <c r="K55" i="11"/>
  <c r="E51" i="14"/>
  <c r="Q37" i="15"/>
  <c r="N37" i="15" s="1"/>
  <c r="N40" i="15" s="1"/>
  <c r="Q36" i="15"/>
  <c r="N36" i="15" s="1"/>
  <c r="K37" i="15"/>
  <c r="K36" i="15"/>
  <c r="E36" i="15"/>
  <c r="B36" i="15" s="1"/>
  <c r="E37" i="15"/>
  <c r="B37" i="15" s="1"/>
  <c r="N42" i="15" l="1"/>
  <c r="Z43" i="15"/>
  <c r="Z42" i="15"/>
  <c r="Z41" i="15"/>
  <c r="T42" i="15"/>
  <c r="T41" i="15"/>
  <c r="T43" i="15"/>
  <c r="H58" i="11"/>
  <c r="J58" i="11"/>
  <c r="N41" i="15"/>
  <c r="N44" i="15" s="1"/>
  <c r="N43" i="15"/>
  <c r="N46" i="15" s="1"/>
  <c r="N45" i="15"/>
  <c r="B43" i="15"/>
  <c r="B46" i="15" s="1"/>
  <c r="B40" i="15"/>
  <c r="B42" i="15"/>
  <c r="B45" i="15" s="1"/>
  <c r="B41" i="15"/>
  <c r="B44" i="15" s="1"/>
  <c r="N47" i="15" l="1"/>
  <c r="N48" i="15" s="1"/>
  <c r="N49" i="15" s="1"/>
  <c r="G36" i="14" s="1"/>
  <c r="B47" i="15"/>
  <c r="B48" i="15" s="1"/>
  <c r="B49" i="15" s="1"/>
  <c r="E40" i="14"/>
  <c r="E41" i="14"/>
  <c r="E42" i="14"/>
  <c r="E43" i="14"/>
  <c r="E44" i="14"/>
  <c r="E45" i="14"/>
  <c r="E46" i="14"/>
  <c r="E47" i="14"/>
  <c r="E48" i="14"/>
  <c r="E49" i="14"/>
  <c r="E50" i="14"/>
  <c r="E39" i="14"/>
  <c r="B23" i="1" l="1"/>
  <c r="E36" i="14"/>
  <c r="L36" i="12"/>
  <c r="J43" i="8"/>
  <c r="L43" i="8" s="1"/>
  <c r="H43" i="8"/>
  <c r="F43" i="8"/>
  <c r="G51" i="14" l="1"/>
  <c r="C30" i="16"/>
  <c r="C31" i="16"/>
  <c r="C32" i="16" s="1"/>
  <c r="C29" i="16"/>
  <c r="D11" i="17"/>
  <c r="Q51" i="8"/>
  <c r="Q36" i="8"/>
  <c r="Q35" i="8"/>
  <c r="E35" i="12"/>
  <c r="F35" i="12" s="1"/>
  <c r="L34" i="12"/>
  <c r="E34" i="12"/>
  <c r="F34" i="12" s="1"/>
  <c r="F33" i="14"/>
  <c r="M34" i="12" l="1"/>
  <c r="B6" i="20" s="1"/>
  <c r="B11" i="21" s="1"/>
  <c r="H36" i="15"/>
  <c r="D10" i="17"/>
  <c r="H29" i="17"/>
  <c r="E31" i="12"/>
  <c r="D51" i="6"/>
  <c r="K27" i="21" l="1"/>
  <c r="K31" i="21"/>
  <c r="K35" i="21"/>
  <c r="K32" i="21"/>
  <c r="K36" i="21"/>
  <c r="K30" i="21"/>
  <c r="B16" i="21"/>
  <c r="K28" i="21"/>
  <c r="K34" i="21"/>
  <c r="B17" i="21"/>
  <c r="K29" i="21"/>
  <c r="K33" i="21"/>
  <c r="K26" i="21"/>
  <c r="D57" i="11"/>
  <c r="W36" i="15"/>
  <c r="T36" i="15" s="1"/>
  <c r="G31" i="12"/>
  <c r="E23" i="17"/>
  <c r="E26" i="17"/>
  <c r="F27" i="17"/>
  <c r="F24" i="17"/>
  <c r="H32" i="17"/>
  <c r="H31" i="17"/>
  <c r="O59" i="17"/>
  <c r="I21" i="17"/>
  <c r="D4" i="17"/>
  <c r="E61" i="17"/>
  <c r="I61" i="17" s="1"/>
  <c r="E60" i="17"/>
  <c r="E59" i="17"/>
  <c r="E58" i="17"/>
  <c r="I58" i="17" s="1"/>
  <c r="E57" i="17"/>
  <c r="I57" i="17" s="1"/>
  <c r="E56" i="17"/>
  <c r="I56" i="17" s="1"/>
  <c r="I55" i="17"/>
  <c r="G43" i="17"/>
  <c r="I43" i="17" s="1"/>
  <c r="G42" i="17"/>
  <c r="D42" i="17"/>
  <c r="F42" i="17" s="1"/>
  <c r="G41" i="17"/>
  <c r="F41" i="17"/>
  <c r="N40" i="17"/>
  <c r="I40" i="17" s="1"/>
  <c r="G38" i="17"/>
  <c r="I38" i="17" s="1"/>
  <c r="G37" i="17"/>
  <c r="D37" i="17"/>
  <c r="F37" i="17" s="1"/>
  <c r="G36" i="17"/>
  <c r="F36" i="17"/>
  <c r="N35" i="17"/>
  <c r="I35" i="17" s="1"/>
  <c r="G33" i="17"/>
  <c r="G32" i="17"/>
  <c r="D32" i="17"/>
  <c r="F33" i="17" s="1"/>
  <c r="G31" i="17"/>
  <c r="F31" i="17"/>
  <c r="G30" i="17"/>
  <c r="G29" i="17"/>
  <c r="G27" i="17"/>
  <c r="H26" i="17"/>
  <c r="G26" i="17"/>
  <c r="G25" i="17"/>
  <c r="F25" i="17"/>
  <c r="G24" i="17"/>
  <c r="H23" i="17"/>
  <c r="G23" i="17"/>
  <c r="J33" i="21" l="1"/>
  <c r="C16" i="20" s="1"/>
  <c r="J34" i="21"/>
  <c r="C17" i="20" s="1"/>
  <c r="J28" i="21"/>
  <c r="C11" i="20" s="1"/>
  <c r="J35" i="21"/>
  <c r="C18" i="20" s="1"/>
  <c r="J32" i="21"/>
  <c r="C15" i="20" s="1"/>
  <c r="J29" i="21"/>
  <c r="C12" i="20" s="1"/>
  <c r="J26" i="21"/>
  <c r="C9" i="20" s="1"/>
  <c r="J31" i="21"/>
  <c r="C14" i="20" s="1"/>
  <c r="F17" i="20"/>
  <c r="I17" i="20"/>
  <c r="I11" i="20"/>
  <c r="F11" i="20"/>
  <c r="F14" i="20"/>
  <c r="I14" i="20"/>
  <c r="F12" i="20"/>
  <c r="I12" i="20"/>
  <c r="I18" i="20"/>
  <c r="F18" i="20"/>
  <c r="J27" i="21"/>
  <c r="C10" i="20" s="1"/>
  <c r="I15" i="20"/>
  <c r="F15" i="20"/>
  <c r="F9" i="20"/>
  <c r="I9" i="20"/>
  <c r="F16" i="20"/>
  <c r="I16" i="20"/>
  <c r="J36" i="21"/>
  <c r="C19" i="20" s="1"/>
  <c r="J30" i="21"/>
  <c r="C13" i="20" s="1"/>
  <c r="I41" i="17"/>
  <c r="T46" i="15"/>
  <c r="T45" i="15"/>
  <c r="T44" i="15"/>
  <c r="Q66" i="8"/>
  <c r="U57" i="11"/>
  <c r="Q20" i="8" s="1"/>
  <c r="L57" i="11"/>
  <c r="E57" i="11"/>
  <c r="A18" i="11"/>
  <c r="G57" i="11"/>
  <c r="H57" i="11" s="1"/>
  <c r="I25" i="17"/>
  <c r="L18" i="17"/>
  <c r="I24" i="17"/>
  <c r="E32" i="17"/>
  <c r="I32" i="17" s="1"/>
  <c r="I36" i="17"/>
  <c r="I26" i="17"/>
  <c r="I27" i="17"/>
  <c r="I31" i="17"/>
  <c r="I33" i="17"/>
  <c r="I60" i="17"/>
  <c r="I23" i="17"/>
  <c r="I37" i="17"/>
  <c r="I42" i="17"/>
  <c r="I59" i="17"/>
  <c r="D62" i="17"/>
  <c r="F62" i="17" s="1"/>
  <c r="J15" i="20" l="1"/>
  <c r="J12" i="20"/>
  <c r="I13" i="20"/>
  <c r="F13" i="20"/>
  <c r="F20" i="20" s="1"/>
  <c r="J9" i="20"/>
  <c r="F10" i="20"/>
  <c r="I10" i="20"/>
  <c r="J11" i="20"/>
  <c r="F19" i="20"/>
  <c r="I19" i="20"/>
  <c r="J14" i="20"/>
  <c r="J17" i="20"/>
  <c r="J16" i="20"/>
  <c r="J18" i="20"/>
  <c r="F57" i="11"/>
  <c r="N57" i="11"/>
  <c r="O57" i="11" s="1"/>
  <c r="T47" i="15"/>
  <c r="T48" i="15" s="1"/>
  <c r="T49" i="15" s="1"/>
  <c r="M36" i="12" s="1"/>
  <c r="D59" i="11" s="1"/>
  <c r="E59" i="11" s="1"/>
  <c r="I18" i="17"/>
  <c r="L19" i="17"/>
  <c r="I19" i="17" s="1"/>
  <c r="H18" i="17"/>
  <c r="H19" i="17" s="1"/>
  <c r="I62" i="17"/>
  <c r="I65" i="17" s="1"/>
  <c r="I67" i="17" s="1"/>
  <c r="E62" i="17"/>
  <c r="J19" i="20" l="1"/>
  <c r="J10" i="20"/>
  <c r="I20" i="20"/>
  <c r="J13" i="20"/>
  <c r="S57" i="11"/>
  <c r="Q57" i="11"/>
  <c r="AC36" i="15"/>
  <c r="Z36" i="15" s="1"/>
  <c r="G35" i="6"/>
  <c r="G31" i="6"/>
  <c r="G29" i="6"/>
  <c r="G25" i="6"/>
  <c r="H25" i="6" s="1"/>
  <c r="G22" i="6"/>
  <c r="G21" i="6"/>
  <c r="G18" i="6"/>
  <c r="G17" i="6"/>
  <c r="G16" i="6"/>
  <c r="G13" i="6"/>
  <c r="G11" i="6"/>
  <c r="G10" i="6"/>
  <c r="C15" i="3"/>
  <c r="G42" i="3"/>
  <c r="G41" i="3"/>
  <c r="Q6" i="8"/>
  <c r="E32" i="14"/>
  <c r="B4" i="22" s="1"/>
  <c r="F42" i="3"/>
  <c r="F41" i="3"/>
  <c r="P83" i="16"/>
  <c r="N83" i="16"/>
  <c r="P82" i="16"/>
  <c r="M82" i="16"/>
  <c r="N82" i="16" s="1"/>
  <c r="P81" i="16"/>
  <c r="M81" i="16"/>
  <c r="N81" i="16" s="1"/>
  <c r="P80" i="16"/>
  <c r="M80" i="16"/>
  <c r="N80" i="16" s="1"/>
  <c r="P79" i="16"/>
  <c r="M79" i="16"/>
  <c r="N79" i="16" s="1"/>
  <c r="P78" i="16"/>
  <c r="M78" i="16"/>
  <c r="N78" i="16" s="1"/>
  <c r="P77" i="16"/>
  <c r="M77" i="16"/>
  <c r="N77" i="16" s="1"/>
  <c r="P76" i="16"/>
  <c r="M76" i="16"/>
  <c r="N76" i="16" s="1"/>
  <c r="P75" i="16"/>
  <c r="M75" i="16"/>
  <c r="N75" i="16" s="1"/>
  <c r="P74" i="16"/>
  <c r="M74" i="16"/>
  <c r="P73" i="16"/>
  <c r="M73" i="16"/>
  <c r="P72" i="16"/>
  <c r="M72" i="16"/>
  <c r="N72" i="16" s="1"/>
  <c r="P71" i="16"/>
  <c r="M71" i="16"/>
  <c r="N71" i="16" s="1"/>
  <c r="P70" i="16"/>
  <c r="M70" i="16"/>
  <c r="N70" i="16" s="1"/>
  <c r="P69" i="16"/>
  <c r="M69" i="16"/>
  <c r="N69" i="16" s="1"/>
  <c r="P68" i="16"/>
  <c r="M68" i="16"/>
  <c r="N68" i="16" s="1"/>
  <c r="N62" i="16"/>
  <c r="M61" i="16"/>
  <c r="N61" i="16" s="1"/>
  <c r="M60" i="16"/>
  <c r="N59" i="16"/>
  <c r="M59" i="16"/>
  <c r="M58" i="16"/>
  <c r="N58" i="16" s="1"/>
  <c r="M57" i="16"/>
  <c r="N57" i="16" s="1"/>
  <c r="M56" i="16"/>
  <c r="N56" i="16" s="1"/>
  <c r="M55" i="16"/>
  <c r="N55" i="16" s="1"/>
  <c r="M54" i="16"/>
  <c r="M53" i="16"/>
  <c r="N53" i="16" s="1"/>
  <c r="M52" i="16"/>
  <c r="M51" i="16"/>
  <c r="N51" i="16" s="1"/>
  <c r="M50" i="16"/>
  <c r="N50" i="16" s="1"/>
  <c r="M49" i="16"/>
  <c r="N49" i="16" s="1"/>
  <c r="M48" i="16"/>
  <c r="N48" i="16" s="1"/>
  <c r="M47" i="16"/>
  <c r="N47" i="16" s="1"/>
  <c r="N19" i="16"/>
  <c r="M18" i="16"/>
  <c r="N18" i="16" s="1"/>
  <c r="M17" i="16"/>
  <c r="M16" i="16"/>
  <c r="N16" i="16" s="1"/>
  <c r="M15" i="16"/>
  <c r="N15" i="16" s="1"/>
  <c r="M14" i="16"/>
  <c r="N14" i="16" s="1"/>
  <c r="M13" i="16"/>
  <c r="N13" i="16" s="1"/>
  <c r="M12" i="16"/>
  <c r="N12" i="16" s="1"/>
  <c r="M11" i="16"/>
  <c r="N11" i="16" s="1"/>
  <c r="M10" i="16"/>
  <c r="N10" i="16" s="1"/>
  <c r="M9" i="16"/>
  <c r="N9" i="16" s="1"/>
  <c r="M8" i="16"/>
  <c r="N8" i="16" s="1"/>
  <c r="M7" i="16"/>
  <c r="N7" i="16" s="1"/>
  <c r="M6" i="16"/>
  <c r="N6" i="16" s="1"/>
  <c r="M5" i="16"/>
  <c r="N5" i="16" s="1"/>
  <c r="M4" i="16"/>
  <c r="N4" i="16" s="1"/>
  <c r="J20" i="20" l="1"/>
  <c r="E31" i="14"/>
  <c r="B4" i="20"/>
  <c r="Z46" i="15"/>
  <c r="Z45" i="15"/>
  <c r="Z44" i="15"/>
  <c r="T57" i="11"/>
  <c r="Q22" i="8" s="1"/>
  <c r="Q65" i="8"/>
  <c r="N74" i="16"/>
  <c r="N54" i="16"/>
  <c r="N60" i="16"/>
  <c r="N17" i="16"/>
  <c r="N52" i="16"/>
  <c r="N73" i="16"/>
  <c r="C14" i="3"/>
  <c r="E56" i="3"/>
  <c r="E57" i="3"/>
  <c r="C19" i="16"/>
  <c r="AL19" i="16" s="1"/>
  <c r="L75" i="11"/>
  <c r="I25" i="14"/>
  <c r="F32" i="14" s="1"/>
  <c r="E54" i="14"/>
  <c r="P69" i="11"/>
  <c r="P68" i="11"/>
  <c r="P67" i="11"/>
  <c r="P66" i="11"/>
  <c r="P57" i="11"/>
  <c r="K75" i="11"/>
  <c r="U75" i="11"/>
  <c r="R75" i="11"/>
  <c r="Q75" i="11"/>
  <c r="N75" i="11"/>
  <c r="F75" i="11"/>
  <c r="D17" i="20" l="1"/>
  <c r="D16" i="20"/>
  <c r="D11" i="20"/>
  <c r="D19" i="20"/>
  <c r="D15" i="20"/>
  <c r="D13" i="20"/>
  <c r="D12" i="20"/>
  <c r="D9" i="20"/>
  <c r="D10" i="20"/>
  <c r="D18" i="20"/>
  <c r="D14" i="20"/>
  <c r="Z47" i="15"/>
  <c r="Z48" i="15" s="1"/>
  <c r="Z49" i="15" s="1"/>
  <c r="O59" i="11" s="1"/>
  <c r="AD19" i="16"/>
  <c r="P75" i="11"/>
  <c r="AP19" i="16"/>
  <c r="AH19" i="16"/>
  <c r="AN19" i="16"/>
  <c r="AI19" i="16"/>
  <c r="AC19" i="16"/>
  <c r="AM19" i="16"/>
  <c r="AQ19" i="16"/>
  <c r="AK19" i="16"/>
  <c r="AF19" i="16"/>
  <c r="AB40" i="16"/>
  <c r="AG19" i="16"/>
  <c r="AO19" i="16"/>
  <c r="AJ19" i="16"/>
  <c r="AE19" i="16"/>
  <c r="AR19" i="16"/>
  <c r="E30" i="12"/>
  <c r="F30" i="12" s="1"/>
  <c r="T21" i="13"/>
  <c r="N5" i="13"/>
  <c r="D20" i="20" l="1"/>
  <c r="Q70" i="8"/>
  <c r="P49" i="11" s="1"/>
  <c r="D26" i="6" s="1"/>
  <c r="Q67" i="8"/>
  <c r="Q37" i="8"/>
  <c r="B37" i="1"/>
  <c r="Q9" i="8"/>
  <c r="G11" i="20" l="1"/>
  <c r="H11" i="20" s="1"/>
  <c r="G14" i="20"/>
  <c r="H14" i="20" s="1"/>
  <c r="G15" i="20"/>
  <c r="H15" i="20" s="1"/>
  <c r="G16" i="20"/>
  <c r="H16" i="20" s="1"/>
  <c r="G12" i="20"/>
  <c r="H12" i="20" s="1"/>
  <c r="G9" i="20"/>
  <c r="G18" i="20"/>
  <c r="H18" i="20" s="1"/>
  <c r="G17" i="20"/>
  <c r="H17" i="20" s="1"/>
  <c r="G10" i="20"/>
  <c r="H10" i="20" s="1"/>
  <c r="G19" i="20"/>
  <c r="H19" i="20" s="1"/>
  <c r="G13" i="20"/>
  <c r="H13" i="20" s="1"/>
  <c r="Q73" i="8"/>
  <c r="Q72" i="8"/>
  <c r="Q74" i="8"/>
  <c r="G20" i="20" l="1"/>
  <c r="H9" i="20"/>
  <c r="H20" i="20" s="1"/>
  <c r="Q75" i="8"/>
  <c r="Q77" i="8" s="1"/>
  <c r="B19" i="1" l="1"/>
  <c r="P83" i="9"/>
  <c r="N83" i="9"/>
  <c r="P82" i="9"/>
  <c r="M82" i="9"/>
  <c r="N82" i="9" s="1"/>
  <c r="P81" i="9"/>
  <c r="M81" i="9"/>
  <c r="N81" i="9" s="1"/>
  <c r="P80" i="9"/>
  <c r="M80" i="9"/>
  <c r="N80" i="9" s="1"/>
  <c r="P79" i="9"/>
  <c r="M79" i="9"/>
  <c r="P78" i="9"/>
  <c r="M78" i="9"/>
  <c r="P77" i="9"/>
  <c r="M77" i="9"/>
  <c r="N77" i="9" s="1"/>
  <c r="P76" i="9"/>
  <c r="M76" i="9"/>
  <c r="P75" i="9"/>
  <c r="M75" i="9"/>
  <c r="P74" i="9"/>
  <c r="M74" i="9"/>
  <c r="P73" i="9"/>
  <c r="M73" i="9"/>
  <c r="N73" i="9" s="1"/>
  <c r="P72" i="9"/>
  <c r="M72" i="9"/>
  <c r="N72" i="9" s="1"/>
  <c r="P71" i="9"/>
  <c r="M71" i="9"/>
  <c r="N71" i="9" s="1"/>
  <c r="P70" i="9"/>
  <c r="M70" i="9"/>
  <c r="N70" i="9" s="1"/>
  <c r="P69" i="9"/>
  <c r="M69" i="9"/>
  <c r="N69" i="9" s="1"/>
  <c r="P68" i="9"/>
  <c r="M68" i="9"/>
  <c r="N68" i="9" s="1"/>
  <c r="N62" i="9"/>
  <c r="M61" i="9"/>
  <c r="M60" i="9"/>
  <c r="M59" i="9"/>
  <c r="N59" i="9" s="1"/>
  <c r="M58" i="9"/>
  <c r="N58" i="9" s="1"/>
  <c r="M57" i="9"/>
  <c r="N57" i="9" s="1"/>
  <c r="M56" i="9"/>
  <c r="M55" i="9"/>
  <c r="M54" i="9"/>
  <c r="N54" i="9" s="1"/>
  <c r="M53" i="9"/>
  <c r="M52" i="9"/>
  <c r="N52" i="9" s="1"/>
  <c r="M51" i="9"/>
  <c r="N51" i="9" s="1"/>
  <c r="M50" i="9"/>
  <c r="M49" i="9"/>
  <c r="N49" i="9" s="1"/>
  <c r="M48" i="9"/>
  <c r="N48" i="9" s="1"/>
  <c r="M47" i="9"/>
  <c r="N47" i="9" s="1"/>
  <c r="P19" i="9"/>
  <c r="AV19" i="9" s="1"/>
  <c r="N19" i="9"/>
  <c r="P18" i="9"/>
  <c r="AV18" i="9" s="1"/>
  <c r="M18" i="9"/>
  <c r="N18" i="9" s="1"/>
  <c r="P17" i="9"/>
  <c r="AV17" i="9" s="1"/>
  <c r="M17" i="9"/>
  <c r="N17" i="9" s="1"/>
  <c r="P16" i="9"/>
  <c r="AV16" i="9" s="1"/>
  <c r="M16" i="9"/>
  <c r="P15" i="9"/>
  <c r="AV15" i="9" s="1"/>
  <c r="M15" i="9"/>
  <c r="L52" i="11" s="1"/>
  <c r="P14" i="9"/>
  <c r="AV14" i="9" s="1"/>
  <c r="M14" i="9"/>
  <c r="P13" i="9"/>
  <c r="AV13" i="9" s="1"/>
  <c r="N13" i="9"/>
  <c r="M13" i="9"/>
  <c r="P12" i="9"/>
  <c r="AV12" i="9" s="1"/>
  <c r="M12" i="9"/>
  <c r="N12" i="9" s="1"/>
  <c r="P11" i="9"/>
  <c r="AV11" i="9" s="1"/>
  <c r="M11" i="9"/>
  <c r="N11" i="9" s="1"/>
  <c r="P10" i="9"/>
  <c r="AV10" i="9" s="1"/>
  <c r="M10" i="9"/>
  <c r="N10" i="9" s="1"/>
  <c r="P9" i="9"/>
  <c r="AV9" i="9" s="1"/>
  <c r="M9" i="9"/>
  <c r="P8" i="9"/>
  <c r="AV8" i="9" s="1"/>
  <c r="M8" i="9"/>
  <c r="N8" i="9" s="1"/>
  <c r="P7" i="9"/>
  <c r="AV7" i="9" s="1"/>
  <c r="M7" i="9"/>
  <c r="N7" i="9" s="1"/>
  <c r="AV6" i="9"/>
  <c r="M6" i="9"/>
  <c r="N6" i="9" s="1"/>
  <c r="AV5" i="9"/>
  <c r="M5" i="9"/>
  <c r="N5" i="9" s="1"/>
  <c r="AV4" i="9"/>
  <c r="M4" i="9"/>
  <c r="N15" i="9" l="1"/>
  <c r="N16" i="9"/>
  <c r="N4" i="9"/>
  <c r="N9" i="9"/>
  <c r="N14" i="9"/>
  <c r="N55" i="9"/>
  <c r="N61" i="9"/>
  <c r="N53" i="9"/>
  <c r="N56" i="9"/>
  <c r="N50" i="9"/>
  <c r="N60" i="9"/>
  <c r="N74" i="9"/>
  <c r="N75" i="9"/>
  <c r="N78" i="9"/>
  <c r="N76" i="9"/>
  <c r="N79" i="9"/>
  <c r="Q10" i="8" l="1"/>
  <c r="Q12" i="8" s="1"/>
  <c r="Q13" i="8" l="1"/>
  <c r="O16" i="12"/>
  <c r="K31" i="12" s="1"/>
  <c r="Q84" i="8"/>
  <c r="I5" i="17" s="1"/>
  <c r="Q14" i="8"/>
  <c r="K33" i="12" l="1"/>
  <c r="H31" i="12"/>
  <c r="J31" i="12" s="1"/>
  <c r="J33" i="12" s="1"/>
  <c r="I6" i="17"/>
  <c r="D29" i="17"/>
  <c r="F30" i="17" s="1"/>
  <c r="I30" i="17" s="1"/>
  <c r="Q15" i="8"/>
  <c r="Q17" i="8" l="1"/>
  <c r="E29" i="17"/>
  <c r="I29" i="17" s="1"/>
  <c r="I44" i="17" s="1"/>
  <c r="E33" i="6"/>
  <c r="H33" i="6" s="1"/>
  <c r="F33" i="6"/>
  <c r="I72" i="17" l="1"/>
  <c r="I49" i="17" l="1"/>
  <c r="I47" i="17"/>
  <c r="I48" i="17" s="1"/>
  <c r="E50" i="6"/>
  <c r="E49" i="6"/>
  <c r="E48" i="6"/>
  <c r="E47" i="6"/>
  <c r="E46" i="6"/>
  <c r="I51" i="17" l="1"/>
  <c r="I69" i="17" s="1"/>
  <c r="F51" i="6"/>
  <c r="E51" i="6"/>
  <c r="H46" i="6"/>
  <c r="H47" i="6"/>
  <c r="H48" i="6"/>
  <c r="H49" i="6"/>
  <c r="H50" i="6"/>
  <c r="H45" i="6"/>
  <c r="I70" i="17" l="1"/>
  <c r="I74" i="17"/>
  <c r="F26" i="6"/>
  <c r="H26" i="6" s="1"/>
  <c r="H51" i="6"/>
  <c r="H54" i="6" s="1"/>
  <c r="H56" i="6" s="1"/>
  <c r="I75" i="17" l="1"/>
  <c r="F8" i="1"/>
  <c r="H8" i="1" s="1"/>
  <c r="I84" i="11" l="1"/>
  <c r="F35" i="6" l="1"/>
  <c r="H35" i="6" s="1"/>
  <c r="Q5" i="8" l="1"/>
  <c r="Q7" i="8" s="1"/>
  <c r="L35" i="12"/>
  <c r="H37" i="15" l="1"/>
  <c r="H40" i="15" l="1"/>
  <c r="H43" i="15"/>
  <c r="H46" i="15" s="1"/>
  <c r="H42" i="15"/>
  <c r="H45" i="15" s="1"/>
  <c r="H41" i="15"/>
  <c r="H44" i="15" s="1"/>
  <c r="H47" i="15" l="1"/>
  <c r="H48" i="15" s="1"/>
  <c r="H49" i="15" s="1"/>
  <c r="F36" i="14" l="1"/>
  <c r="F37" i="14" s="1"/>
  <c r="E32" i="12" s="1"/>
  <c r="H32" i="12" l="1"/>
  <c r="H33" i="12" s="1"/>
  <c r="E36" i="12"/>
  <c r="F36" i="12" s="1"/>
  <c r="W36" i="14"/>
  <c r="F51" i="14"/>
  <c r="E49" i="12" s="1"/>
  <c r="G32" i="12" l="1"/>
  <c r="E33" i="12"/>
  <c r="F49" i="12"/>
  <c r="F43" i="14"/>
  <c r="E12" i="22" s="1"/>
  <c r="F42" i="14"/>
  <c r="E11" i="22" s="1"/>
  <c r="F44" i="14"/>
  <c r="E13" i="22" s="1"/>
  <c r="F41" i="14"/>
  <c r="F45" i="14"/>
  <c r="E14" i="22" s="1"/>
  <c r="F48" i="14"/>
  <c r="E17" i="22" s="1"/>
  <c r="F50" i="14"/>
  <c r="E19" i="22" s="1"/>
  <c r="F46" i="14"/>
  <c r="E15" i="22" s="1"/>
  <c r="F47" i="14"/>
  <c r="E16" i="22" s="1"/>
  <c r="F40" i="14"/>
  <c r="E9" i="22" s="1"/>
  <c r="F39" i="14"/>
  <c r="E10" i="22" s="1"/>
  <c r="F49" i="14"/>
  <c r="E18" i="22" s="1"/>
  <c r="D18" i="22" l="1"/>
  <c r="F18" i="22"/>
  <c r="I18" i="22"/>
  <c r="F14" i="22"/>
  <c r="I14" i="22"/>
  <c r="D14" i="22"/>
  <c r="D15" i="22"/>
  <c r="F15" i="22"/>
  <c r="I15" i="22"/>
  <c r="D19" i="22"/>
  <c r="F19" i="22"/>
  <c r="I19" i="22"/>
  <c r="D13" i="22"/>
  <c r="F13" i="22"/>
  <c r="I13" i="22"/>
  <c r="D16" i="22"/>
  <c r="F16" i="22"/>
  <c r="I16" i="22"/>
  <c r="D12" i="22"/>
  <c r="F12" i="22"/>
  <c r="I12" i="22"/>
  <c r="D10" i="22"/>
  <c r="F10" i="22"/>
  <c r="I10" i="22"/>
  <c r="E20" i="22"/>
  <c r="D9" i="22"/>
  <c r="F9" i="22"/>
  <c r="I9" i="22"/>
  <c r="D17" i="22"/>
  <c r="F17" i="22"/>
  <c r="I17" i="22"/>
  <c r="D11" i="22"/>
  <c r="F11" i="22"/>
  <c r="I11" i="22"/>
  <c r="I32" i="12"/>
  <c r="G33" i="12"/>
  <c r="E45" i="12"/>
  <c r="E43" i="12"/>
  <c r="E41" i="12"/>
  <c r="E44" i="12"/>
  <c r="F54" i="14"/>
  <c r="E37" i="12"/>
  <c r="E48" i="12"/>
  <c r="E42" i="12"/>
  <c r="E47" i="12"/>
  <c r="E39" i="12"/>
  <c r="E38" i="12"/>
  <c r="E46" i="12"/>
  <c r="E40" i="12"/>
  <c r="AF19" i="9"/>
  <c r="AN19" i="9"/>
  <c r="AD19" i="9"/>
  <c r="AH19" i="9"/>
  <c r="AJ19" i="9"/>
  <c r="AO19" i="9"/>
  <c r="AG19" i="9"/>
  <c r="AK19" i="9"/>
  <c r="AM19" i="9"/>
  <c r="AX19" i="9"/>
  <c r="AP19" i="9"/>
  <c r="AB40" i="9"/>
  <c r="AC19" i="9"/>
  <c r="AI19" i="9"/>
  <c r="AL19" i="9"/>
  <c r="AR19" i="9"/>
  <c r="AQ19" i="9"/>
  <c r="AE19" i="9"/>
  <c r="AW19" i="9"/>
  <c r="F20" i="22" l="1"/>
  <c r="J18" i="22"/>
  <c r="J10" i="22"/>
  <c r="J19" i="22"/>
  <c r="J17" i="22"/>
  <c r="J13" i="22"/>
  <c r="J11" i="22"/>
  <c r="D20" i="22"/>
  <c r="G18" i="22" s="1"/>
  <c r="H18" i="22" s="1"/>
  <c r="J16" i="22"/>
  <c r="I20" i="22"/>
  <c r="J9" i="22"/>
  <c r="J12" i="22"/>
  <c r="J15" i="22"/>
  <c r="J14" i="22"/>
  <c r="I33" i="12"/>
  <c r="F38" i="12"/>
  <c r="F44" i="12"/>
  <c r="F43" i="12"/>
  <c r="F39" i="12"/>
  <c r="F46" i="12"/>
  <c r="F42" i="12"/>
  <c r="F37" i="12"/>
  <c r="E52" i="12"/>
  <c r="F40" i="12"/>
  <c r="F47" i="12"/>
  <c r="F48" i="12"/>
  <c r="C15" i="9"/>
  <c r="F41" i="12"/>
  <c r="F45" i="12"/>
  <c r="G11" i="22" l="1"/>
  <c r="H11" i="22" s="1"/>
  <c r="G15" i="22"/>
  <c r="H15" i="22" s="1"/>
  <c r="G9" i="22"/>
  <c r="G17" i="22"/>
  <c r="H17" i="22" s="1"/>
  <c r="G10" i="22"/>
  <c r="H10" i="22" s="1"/>
  <c r="G14" i="22"/>
  <c r="H14" i="22" s="1"/>
  <c r="G12" i="22"/>
  <c r="H12" i="22" s="1"/>
  <c r="G19" i="22"/>
  <c r="H19" i="22" s="1"/>
  <c r="J20" i="22"/>
  <c r="G16" i="22"/>
  <c r="H16" i="22" s="1"/>
  <c r="H9" i="22"/>
  <c r="G13" i="22"/>
  <c r="H13" i="22" s="1"/>
  <c r="AX6" i="9"/>
  <c r="AW6" i="9"/>
  <c r="AD6" i="9"/>
  <c r="AE6" i="9"/>
  <c r="AL6" i="9"/>
  <c r="AO6" i="9"/>
  <c r="AP6" i="9"/>
  <c r="AQ6" i="9"/>
  <c r="AJ6" i="9"/>
  <c r="AF6" i="9"/>
  <c r="AR6" i="9"/>
  <c r="AC6" i="9"/>
  <c r="AH6" i="9"/>
  <c r="AN6" i="9"/>
  <c r="AB27" i="9"/>
  <c r="AK6" i="9"/>
  <c r="AI6" i="9"/>
  <c r="AG6" i="9"/>
  <c r="AX12" i="9"/>
  <c r="AW12" i="9"/>
  <c r="AP12" i="9"/>
  <c r="AH12" i="9"/>
  <c r="AC12" i="9"/>
  <c r="AO12" i="9"/>
  <c r="AG12" i="9"/>
  <c r="AM12" i="9"/>
  <c r="AE12" i="9"/>
  <c r="AD12" i="9"/>
  <c r="AQ12" i="9"/>
  <c r="AI12" i="9"/>
  <c r="U12" i="9"/>
  <c r="AF12" i="9"/>
  <c r="AB33" i="9"/>
  <c r="AN12" i="9"/>
  <c r="AJ12" i="9"/>
  <c r="AK12" i="9"/>
  <c r="AR12" i="9"/>
  <c r="AL12" i="9"/>
  <c r="AX15" i="9"/>
  <c r="AW15" i="9"/>
  <c r="C16" i="9"/>
  <c r="AR15" i="9"/>
  <c r="AM15" i="9"/>
  <c r="AG15" i="9"/>
  <c r="AC15" i="9"/>
  <c r="AQ15" i="9"/>
  <c r="AJ15" i="9"/>
  <c r="AF15" i="9"/>
  <c r="AP15" i="9"/>
  <c r="AI15" i="9"/>
  <c r="AE15" i="9"/>
  <c r="AB36" i="9"/>
  <c r="AD15" i="9"/>
  <c r="AO15" i="9"/>
  <c r="AH15" i="9"/>
  <c r="AN15" i="9"/>
  <c r="AK15" i="9"/>
  <c r="U15" i="9"/>
  <c r="AL15" i="9"/>
  <c r="AW7" i="9"/>
  <c r="AX7" i="9"/>
  <c r="AP7" i="9"/>
  <c r="AR7" i="9"/>
  <c r="AF7" i="9"/>
  <c r="AH7" i="9"/>
  <c r="AL7" i="9"/>
  <c r="AK7" i="9"/>
  <c r="AO7" i="9"/>
  <c r="AM7" i="9"/>
  <c r="AD7" i="9"/>
  <c r="AE7" i="9"/>
  <c r="AB28" i="9"/>
  <c r="AI7" i="9"/>
  <c r="AJ7" i="9"/>
  <c r="AC7" i="9"/>
  <c r="AN7" i="9"/>
  <c r="AQ7" i="9"/>
  <c r="AG7" i="9"/>
  <c r="AP4" i="9"/>
  <c r="AX4" i="9"/>
  <c r="AD4" i="9"/>
  <c r="AC4" i="9"/>
  <c r="AE4" i="9"/>
  <c r="AH4" i="9"/>
  <c r="AK4" i="9"/>
  <c r="AJ4" i="9"/>
  <c r="AO4" i="9"/>
  <c r="AG4" i="9"/>
  <c r="AF4" i="9"/>
  <c r="AR4" i="9"/>
  <c r="AW4" i="9"/>
  <c r="AQ4" i="9"/>
  <c r="AN4" i="9"/>
  <c r="AL4" i="9"/>
  <c r="AI4" i="9"/>
  <c r="AB25" i="9"/>
  <c r="AX13" i="9"/>
  <c r="AW13" i="9"/>
  <c r="AH13" i="9"/>
  <c r="AG13" i="9"/>
  <c r="AP13" i="9"/>
  <c r="AD13" i="9"/>
  <c r="AO13" i="9"/>
  <c r="AC13" i="9"/>
  <c r="AI13" i="9"/>
  <c r="AJ13" i="9"/>
  <c r="AK13" i="9"/>
  <c r="AL13" i="9"/>
  <c r="AM13" i="9"/>
  <c r="AN13" i="9"/>
  <c r="U13" i="9"/>
  <c r="AQ13" i="9"/>
  <c r="AR13" i="9"/>
  <c r="AE13" i="9"/>
  <c r="AF13" i="9"/>
  <c r="AB34" i="9"/>
  <c r="AX11" i="9"/>
  <c r="AW11" i="9"/>
  <c r="AF11" i="9"/>
  <c r="AE11" i="9"/>
  <c r="AL11" i="9"/>
  <c r="AH11" i="9"/>
  <c r="AC11" i="9"/>
  <c r="AK11" i="9"/>
  <c r="AN11" i="9"/>
  <c r="AI11" i="9"/>
  <c r="AD11" i="9"/>
  <c r="AJ11" i="9"/>
  <c r="AM11" i="9"/>
  <c r="AQ11" i="9"/>
  <c r="AB32" i="9"/>
  <c r="AO11" i="9"/>
  <c r="AR11" i="9"/>
  <c r="U11" i="9"/>
  <c r="AP11" i="9"/>
  <c r="AG11" i="9"/>
  <c r="F52" i="12"/>
  <c r="AW8" i="9"/>
  <c r="AX8" i="9"/>
  <c r="AO8" i="9"/>
  <c r="AD8" i="9"/>
  <c r="AI8" i="9"/>
  <c r="AK8" i="9"/>
  <c r="AN8" i="9"/>
  <c r="AH8" i="9"/>
  <c r="AG8" i="9"/>
  <c r="AF8" i="9"/>
  <c r="AM8" i="9"/>
  <c r="AL8" i="9"/>
  <c r="AE8" i="9"/>
  <c r="AJ8" i="9"/>
  <c r="U8" i="9"/>
  <c r="AQ8" i="9"/>
  <c r="AP8" i="9"/>
  <c r="AC8" i="9"/>
  <c r="AR8" i="9"/>
  <c r="AB29" i="9"/>
  <c r="AX14" i="9"/>
  <c r="AW14" i="9"/>
  <c r="AB35" i="9"/>
  <c r="AQ14" i="9"/>
  <c r="AJ14" i="9"/>
  <c r="AF14" i="9"/>
  <c r="AP14" i="9"/>
  <c r="AI14" i="9"/>
  <c r="AE14" i="9"/>
  <c r="AO14" i="9"/>
  <c r="AH14" i="9"/>
  <c r="AD14" i="9"/>
  <c r="AM14" i="9"/>
  <c r="AG14" i="9"/>
  <c r="AC14" i="9"/>
  <c r="AR14" i="9"/>
  <c r="AK14" i="9"/>
  <c r="AN14" i="9"/>
  <c r="U14" i="9"/>
  <c r="AL14" i="9"/>
  <c r="AX9" i="9"/>
  <c r="AW9" i="9"/>
  <c r="AK9" i="9"/>
  <c r="U9" i="9"/>
  <c r="AQ9" i="9"/>
  <c r="AG9" i="9"/>
  <c r="AN9" i="9"/>
  <c r="AO9" i="9"/>
  <c r="AM9" i="9"/>
  <c r="AL9" i="9"/>
  <c r="AP9" i="9"/>
  <c r="AI9" i="9"/>
  <c r="AR9" i="9"/>
  <c r="AC9" i="9"/>
  <c r="AD9" i="9"/>
  <c r="AF9" i="9"/>
  <c r="AB30" i="9"/>
  <c r="AE9" i="9"/>
  <c r="AH9" i="9"/>
  <c r="AJ9" i="9"/>
  <c r="AX10" i="9"/>
  <c r="AW10" i="9"/>
  <c r="AF10" i="9"/>
  <c r="AE10" i="9"/>
  <c r="AC10" i="9"/>
  <c r="AJ10" i="9"/>
  <c r="AM10" i="9"/>
  <c r="AR10" i="9"/>
  <c r="AP10" i="9"/>
  <c r="AI10" i="9"/>
  <c r="AO10" i="9"/>
  <c r="AK10" i="9"/>
  <c r="AB31" i="9"/>
  <c r="AN10" i="9"/>
  <c r="AH10" i="9"/>
  <c r="U10" i="9"/>
  <c r="AQ10" i="9"/>
  <c r="AL10" i="9"/>
  <c r="AG10" i="9"/>
  <c r="AD10" i="9"/>
  <c r="AX5" i="9"/>
  <c r="AW5" i="9"/>
  <c r="AP5" i="9"/>
  <c r="AR5" i="9"/>
  <c r="AE5" i="9"/>
  <c r="AL5" i="9"/>
  <c r="AG5" i="9"/>
  <c r="AK5" i="9"/>
  <c r="AD5" i="9"/>
  <c r="AB26" i="9"/>
  <c r="AF5" i="9"/>
  <c r="AO5" i="9"/>
  <c r="AI5" i="9"/>
  <c r="AQ5" i="9"/>
  <c r="AN5" i="9"/>
  <c r="AJ5" i="9"/>
  <c r="AH5" i="9"/>
  <c r="AC5" i="9"/>
  <c r="F5" i="10" l="1"/>
  <c r="H20" i="22"/>
  <c r="G20" i="22"/>
  <c r="AX16" i="9"/>
  <c r="AW16" i="9"/>
  <c r="C17" i="9"/>
  <c r="AR16" i="9"/>
  <c r="AN16" i="9"/>
  <c r="AH16" i="9"/>
  <c r="AD16" i="9"/>
  <c r="AQ16" i="9"/>
  <c r="AM16" i="9"/>
  <c r="AG16" i="9"/>
  <c r="AC16" i="9"/>
  <c r="AB37" i="9"/>
  <c r="AP16" i="9"/>
  <c r="AJ16" i="9"/>
  <c r="AF16" i="9"/>
  <c r="AE16" i="9"/>
  <c r="AO16" i="9"/>
  <c r="AI16" i="9"/>
  <c r="AK16" i="9"/>
  <c r="AL16" i="9"/>
  <c r="U16" i="9"/>
  <c r="C18" i="9" l="1"/>
  <c r="AX17" i="9"/>
  <c r="AW17" i="9"/>
  <c r="AQ17" i="9"/>
  <c r="AL17" i="9"/>
  <c r="AG17" i="9"/>
  <c r="AC17" i="9"/>
  <c r="AB38" i="9"/>
  <c r="AP17" i="9"/>
  <c r="AJ17" i="9"/>
  <c r="AF17" i="9"/>
  <c r="AO17" i="9"/>
  <c r="AI17" i="9"/>
  <c r="AE17" i="9"/>
  <c r="AH17" i="9"/>
  <c r="AD17" i="9"/>
  <c r="AR17" i="9"/>
  <c r="AM17" i="9"/>
  <c r="AN17" i="9"/>
  <c r="AK17" i="9"/>
  <c r="U17" i="9"/>
  <c r="AB39" i="9" l="1"/>
  <c r="AQ18" i="9"/>
  <c r="AQ20" i="9" s="1"/>
  <c r="S20" i="9" s="1"/>
  <c r="AJ18" i="9"/>
  <c r="AJ20" i="9" s="1"/>
  <c r="L20" i="9" s="1"/>
  <c r="AF18" i="9"/>
  <c r="AF20" i="9" s="1"/>
  <c r="H20" i="9" s="1"/>
  <c r="AP18" i="9"/>
  <c r="AP20" i="9" s="1"/>
  <c r="R20" i="9" s="1"/>
  <c r="AI18" i="9"/>
  <c r="AI20" i="9" s="1"/>
  <c r="K20" i="9" s="1"/>
  <c r="AE18" i="9"/>
  <c r="AE20" i="9" s="1"/>
  <c r="G20" i="9" s="1"/>
  <c r="AX18" i="9"/>
  <c r="AX20" i="9" s="1"/>
  <c r="AO18" i="9"/>
  <c r="AO20" i="9" s="1"/>
  <c r="Q20" i="9" s="1"/>
  <c r="AH18" i="9"/>
  <c r="AH20" i="9" s="1"/>
  <c r="J20" i="9" s="1"/>
  <c r="AD18" i="9"/>
  <c r="AD20" i="9" s="1"/>
  <c r="F20" i="9" s="1"/>
  <c r="AM18" i="9"/>
  <c r="AM20" i="9" s="1"/>
  <c r="O20" i="9" s="1"/>
  <c r="AG18" i="9"/>
  <c r="AG20" i="9" s="1"/>
  <c r="I20" i="9" s="1"/>
  <c r="AW18" i="9"/>
  <c r="AW20" i="9" s="1"/>
  <c r="AC18" i="9"/>
  <c r="AC20" i="9" s="1"/>
  <c r="E20" i="9" s="1"/>
  <c r="AR18" i="9"/>
  <c r="AR20" i="9" s="1"/>
  <c r="T20" i="9" s="1"/>
  <c r="AK18" i="9"/>
  <c r="AK20" i="9" s="1"/>
  <c r="M20" i="9" s="1"/>
  <c r="AN18" i="9"/>
  <c r="AN20" i="9" s="1"/>
  <c r="P20" i="9" s="1"/>
  <c r="U18" i="9"/>
  <c r="U20" i="9" s="1"/>
  <c r="AL18" i="9"/>
  <c r="AL20" i="9" s="1"/>
  <c r="N20" i="9" s="1"/>
  <c r="C20" i="9"/>
  <c r="G33" i="9" s="1"/>
  <c r="G5" i="10" l="1"/>
  <c r="B21" i="1"/>
  <c r="B22" i="1"/>
  <c r="Q16" i="8"/>
  <c r="AY19" i="9"/>
  <c r="AY5" i="9"/>
  <c r="AY15" i="9"/>
  <c r="AY7" i="9"/>
  <c r="AY10" i="9"/>
  <c r="AY11" i="9"/>
  <c r="AY13" i="9"/>
  <c r="AY9" i="9"/>
  <c r="AY14" i="9"/>
  <c r="AY4" i="9"/>
  <c r="AY12" i="9"/>
  <c r="AY8" i="9"/>
  <c r="AY6" i="9"/>
  <c r="AY16" i="9"/>
  <c r="AY17" i="9"/>
  <c r="AB41" i="9"/>
  <c r="AY18" i="9"/>
  <c r="E10" i="10" l="1"/>
  <c r="E11" i="10"/>
  <c r="E12" i="10"/>
  <c r="E13" i="10"/>
  <c r="B35" i="1"/>
  <c r="O20" i="12"/>
  <c r="Q79" i="8"/>
  <c r="O17" i="12"/>
  <c r="N38" i="9"/>
  <c r="N24" i="9" s="1"/>
  <c r="C83" i="9"/>
  <c r="C71" i="9"/>
  <c r="C74" i="9"/>
  <c r="C72" i="9"/>
  <c r="C76" i="9"/>
  <c r="C75" i="9"/>
  <c r="C73" i="9"/>
  <c r="C69" i="9"/>
  <c r="C77" i="9"/>
  <c r="C70" i="9"/>
  <c r="C78" i="9"/>
  <c r="C79" i="9"/>
  <c r="C68" i="9"/>
  <c r="C80" i="9"/>
  <c r="C81" i="9"/>
  <c r="C82" i="9"/>
  <c r="E14" i="10" l="1"/>
  <c r="N6" i="10" s="1"/>
  <c r="B24" i="1" s="1"/>
  <c r="AR81" i="9"/>
  <c r="AF81" i="9"/>
  <c r="AH81" i="9"/>
  <c r="AE81" i="9"/>
  <c r="AJ81" i="9"/>
  <c r="AQ81" i="9"/>
  <c r="AM81" i="9"/>
  <c r="AD81" i="9"/>
  <c r="AL81" i="9"/>
  <c r="AG81" i="9"/>
  <c r="AC81" i="9"/>
  <c r="AI81" i="9"/>
  <c r="AK81" i="9"/>
  <c r="AO81" i="9"/>
  <c r="AP81" i="9"/>
  <c r="U81" i="9"/>
  <c r="AN81" i="9"/>
  <c r="AE78" i="9"/>
  <c r="AF78" i="9"/>
  <c r="AQ78" i="9"/>
  <c r="AL78" i="9"/>
  <c r="AG78" i="9"/>
  <c r="AO78" i="9"/>
  <c r="AI78" i="9"/>
  <c r="AJ78" i="9"/>
  <c r="U78" i="9"/>
  <c r="AR78" i="9"/>
  <c r="AM78" i="9"/>
  <c r="AC78" i="9"/>
  <c r="AN78" i="9"/>
  <c r="AH78" i="9"/>
  <c r="AP78" i="9"/>
  <c r="AD78" i="9"/>
  <c r="AK78" i="9"/>
  <c r="U73" i="9"/>
  <c r="AL73" i="9"/>
  <c r="AJ73" i="9"/>
  <c r="AE73" i="9"/>
  <c r="AG73" i="9"/>
  <c r="AQ73" i="9"/>
  <c r="AK73" i="9"/>
  <c r="AR73" i="9"/>
  <c r="AN73" i="9"/>
  <c r="AO73" i="9"/>
  <c r="AH73" i="9"/>
  <c r="AC73" i="9"/>
  <c r="AF73" i="9"/>
  <c r="AI73" i="9"/>
  <c r="AD73" i="9"/>
  <c r="AP73" i="9"/>
  <c r="AM73" i="9"/>
  <c r="AG74" i="9"/>
  <c r="AR74" i="9"/>
  <c r="AO74" i="9"/>
  <c r="AM74" i="9"/>
  <c r="AQ74" i="9"/>
  <c r="AE74" i="9"/>
  <c r="AD74" i="9"/>
  <c r="AC74" i="9"/>
  <c r="AP74" i="9"/>
  <c r="AJ74" i="9"/>
  <c r="AL74" i="9"/>
  <c r="AH74" i="9"/>
  <c r="AF74" i="9"/>
  <c r="U74" i="9"/>
  <c r="AK74" i="9"/>
  <c r="AI74" i="9"/>
  <c r="AN74" i="9"/>
  <c r="AM80" i="9"/>
  <c r="AD80" i="9"/>
  <c r="AR80" i="9"/>
  <c r="AK80" i="9"/>
  <c r="AL80" i="9"/>
  <c r="AC80" i="9"/>
  <c r="AJ80" i="9"/>
  <c r="AQ80" i="9"/>
  <c r="AP80" i="9"/>
  <c r="AO80" i="9"/>
  <c r="AI80" i="9"/>
  <c r="U80" i="9"/>
  <c r="AG80" i="9"/>
  <c r="AH80" i="9"/>
  <c r="AN80" i="9"/>
  <c r="AF80" i="9"/>
  <c r="AE80" i="9"/>
  <c r="AM70" i="9"/>
  <c r="AI70" i="9"/>
  <c r="AP70" i="9"/>
  <c r="AE70" i="9"/>
  <c r="AJ70" i="9"/>
  <c r="AG70" i="9"/>
  <c r="AL70" i="9"/>
  <c r="AN70" i="9"/>
  <c r="AK70" i="9"/>
  <c r="AO70" i="9"/>
  <c r="AC70" i="9"/>
  <c r="AR70" i="9"/>
  <c r="AD70" i="9"/>
  <c r="AQ70" i="9"/>
  <c r="AF70" i="9"/>
  <c r="AH70" i="9"/>
  <c r="AO75" i="9"/>
  <c r="AG75" i="9"/>
  <c r="AL75" i="9"/>
  <c r="AF75" i="9"/>
  <c r="AJ75" i="9"/>
  <c r="AQ75" i="9"/>
  <c r="U75" i="9"/>
  <c r="AP75" i="9"/>
  <c r="AI75" i="9"/>
  <c r="AR75" i="9"/>
  <c r="AE75" i="9"/>
  <c r="AD75" i="9"/>
  <c r="AH75" i="9"/>
  <c r="AM75" i="9"/>
  <c r="AK75" i="9"/>
  <c r="AN75" i="9"/>
  <c r="AC75" i="9"/>
  <c r="AF71" i="9"/>
  <c r="AO71" i="9"/>
  <c r="AE71" i="9"/>
  <c r="AH71" i="9"/>
  <c r="AR71" i="9"/>
  <c r="AC71" i="9"/>
  <c r="AL71" i="9"/>
  <c r="AN71" i="9"/>
  <c r="AJ71" i="9"/>
  <c r="AI71" i="9"/>
  <c r="AM71" i="9"/>
  <c r="AK71" i="9"/>
  <c r="AG71" i="9"/>
  <c r="AQ71" i="9"/>
  <c r="AD71" i="9"/>
  <c r="AP71" i="9"/>
  <c r="AR68" i="9"/>
  <c r="AD68" i="9"/>
  <c r="AO68" i="9"/>
  <c r="AM68" i="9"/>
  <c r="AL68" i="9"/>
  <c r="C84" i="9"/>
  <c r="AH68" i="9"/>
  <c r="AE68" i="9"/>
  <c r="AF68" i="9"/>
  <c r="AQ68" i="9"/>
  <c r="AP68" i="9"/>
  <c r="AJ68" i="9"/>
  <c r="AI68" i="9"/>
  <c r="AG68" i="9"/>
  <c r="AK68" i="9"/>
  <c r="AC68" i="9"/>
  <c r="AN68" i="9"/>
  <c r="AE77" i="9"/>
  <c r="AF77" i="9"/>
  <c r="AI77" i="9"/>
  <c r="AK77" i="9"/>
  <c r="U77" i="9"/>
  <c r="AH77" i="9"/>
  <c r="AG77" i="9"/>
  <c r="AL77" i="9"/>
  <c r="AR77" i="9"/>
  <c r="AQ77" i="9"/>
  <c r="AC77" i="9"/>
  <c r="AP77" i="9"/>
  <c r="AN77" i="9"/>
  <c r="AJ77" i="9"/>
  <c r="AO77" i="9"/>
  <c r="AD77" i="9"/>
  <c r="AM77" i="9"/>
  <c r="AD76" i="9"/>
  <c r="AM76" i="9"/>
  <c r="AG76" i="9"/>
  <c r="U76" i="9"/>
  <c r="AE76" i="9"/>
  <c r="AO76" i="9"/>
  <c r="AP76" i="9"/>
  <c r="AJ76" i="9"/>
  <c r="AH76" i="9"/>
  <c r="AR76" i="9"/>
  <c r="AC76" i="9"/>
  <c r="AK76" i="9"/>
  <c r="AF76" i="9"/>
  <c r="AQ76" i="9"/>
  <c r="AI76" i="9"/>
  <c r="AL76" i="9"/>
  <c r="AN76" i="9"/>
  <c r="AJ83" i="9"/>
  <c r="AP83" i="9"/>
  <c r="AE83" i="9"/>
  <c r="AO83" i="9"/>
  <c r="AI83" i="9"/>
  <c r="AK83" i="9"/>
  <c r="AG83" i="9"/>
  <c r="AM83" i="9"/>
  <c r="AQ83" i="9"/>
  <c r="AN83" i="9"/>
  <c r="AF83" i="9"/>
  <c r="AL83" i="9"/>
  <c r="AH83" i="9"/>
  <c r="AR83" i="9"/>
  <c r="AC83" i="9"/>
  <c r="AD83" i="9"/>
  <c r="AN82" i="9"/>
  <c r="AM82" i="9"/>
  <c r="AQ82" i="9"/>
  <c r="AP82" i="9"/>
  <c r="AD82" i="9"/>
  <c r="AO82" i="9"/>
  <c r="AI82" i="9"/>
  <c r="AJ82" i="9"/>
  <c r="AR82" i="9"/>
  <c r="AK82" i="9"/>
  <c r="U82" i="9"/>
  <c r="AC82" i="9"/>
  <c r="AL82" i="9"/>
  <c r="AF82" i="9"/>
  <c r="AG82" i="9"/>
  <c r="AE82" i="9"/>
  <c r="AH82" i="9"/>
  <c r="AF79" i="9"/>
  <c r="AP79" i="9"/>
  <c r="AN79" i="9"/>
  <c r="AH79" i="9"/>
  <c r="AC79" i="9"/>
  <c r="AI79" i="9"/>
  <c r="AL79" i="9"/>
  <c r="AG79" i="9"/>
  <c r="AJ79" i="9"/>
  <c r="U79" i="9"/>
  <c r="AO79" i="9"/>
  <c r="AK79" i="9"/>
  <c r="AM79" i="9"/>
  <c r="AQ79" i="9"/>
  <c r="AD79" i="9"/>
  <c r="AE79" i="9"/>
  <c r="AR79" i="9"/>
  <c r="AN69" i="9"/>
  <c r="AO69" i="9"/>
  <c r="AD69" i="9"/>
  <c r="AM69" i="9"/>
  <c r="AG69" i="9"/>
  <c r="AH69" i="9"/>
  <c r="AF69" i="9"/>
  <c r="AQ69" i="9"/>
  <c r="AK69" i="9"/>
  <c r="AR69" i="9"/>
  <c r="AJ69" i="9"/>
  <c r="AE69" i="9"/>
  <c r="AL69" i="9"/>
  <c r="AC69" i="9"/>
  <c r="AI69" i="9"/>
  <c r="AP69" i="9"/>
  <c r="AM72" i="9"/>
  <c r="AK72" i="9"/>
  <c r="AC72" i="9"/>
  <c r="AI72" i="9"/>
  <c r="AR72" i="9"/>
  <c r="AG72" i="9"/>
  <c r="AJ72" i="9"/>
  <c r="AN72" i="9"/>
  <c r="AE72" i="9"/>
  <c r="AQ72" i="9"/>
  <c r="AF72" i="9"/>
  <c r="AD72" i="9"/>
  <c r="AL72" i="9"/>
  <c r="AO72" i="9"/>
  <c r="AH72" i="9"/>
  <c r="U72" i="9"/>
  <c r="AP72" i="9"/>
  <c r="C62" i="9"/>
  <c r="C55" i="9"/>
  <c r="C57" i="9"/>
  <c r="C52" i="9"/>
  <c r="C58" i="9"/>
  <c r="C53" i="9"/>
  <c r="C48" i="9"/>
  <c r="C49" i="9"/>
  <c r="C47" i="9"/>
  <c r="C51" i="9"/>
  <c r="C54" i="9"/>
  <c r="C56" i="9"/>
  <c r="C59" i="9"/>
  <c r="C50" i="9"/>
  <c r="C60" i="9"/>
  <c r="C61" i="9"/>
  <c r="O18" i="12"/>
  <c r="L30" i="12" s="1"/>
  <c r="B34" i="1"/>
  <c r="I26" i="14" s="1"/>
  <c r="G32" i="14" s="1"/>
  <c r="B38" i="1"/>
  <c r="M30" i="12" l="1"/>
  <c r="D52" i="11" s="1"/>
  <c r="M32" i="12"/>
  <c r="AJ61" i="9"/>
  <c r="AI61" i="9"/>
  <c r="AE61" i="9"/>
  <c r="AG61" i="9"/>
  <c r="AD61" i="9"/>
  <c r="AC61" i="9"/>
  <c r="AP61" i="9"/>
  <c r="AF61" i="9"/>
  <c r="AL61" i="9"/>
  <c r="AM61" i="9"/>
  <c r="AR61" i="9"/>
  <c r="U61" i="9"/>
  <c r="AK61" i="9"/>
  <c r="AQ61" i="9"/>
  <c r="AH61" i="9"/>
  <c r="AO61" i="9"/>
  <c r="AN61" i="9"/>
  <c r="AI49" i="9"/>
  <c r="AC49" i="9"/>
  <c r="AH49" i="9"/>
  <c r="AO49" i="9"/>
  <c r="AM49" i="9"/>
  <c r="AG49" i="9"/>
  <c r="AQ49" i="9"/>
  <c r="AL49" i="9"/>
  <c r="AD49" i="9"/>
  <c r="AF49" i="9"/>
  <c r="AK49" i="9"/>
  <c r="AE49" i="9"/>
  <c r="AP49" i="9"/>
  <c r="AJ49" i="9"/>
  <c r="AR49" i="9"/>
  <c r="AN49" i="9"/>
  <c r="AG84" i="9"/>
  <c r="I84" i="9" s="1"/>
  <c r="AQ84" i="9"/>
  <c r="S84" i="9" s="1"/>
  <c r="AD84" i="9"/>
  <c r="F84" i="9" s="1"/>
  <c r="B4" i="6"/>
  <c r="AE60" i="9"/>
  <c r="AP60" i="9"/>
  <c r="AQ60" i="9"/>
  <c r="AO60" i="9"/>
  <c r="AI60" i="9"/>
  <c r="AD60" i="9"/>
  <c r="AF60" i="9"/>
  <c r="AM60" i="9"/>
  <c r="U60" i="9"/>
  <c r="AG60" i="9"/>
  <c r="AL60" i="9"/>
  <c r="AN60" i="9"/>
  <c r="AJ60" i="9"/>
  <c r="AC60" i="9"/>
  <c r="AK60" i="9"/>
  <c r="AH60" i="9"/>
  <c r="AR60" i="9"/>
  <c r="AI54" i="9"/>
  <c r="AC54" i="9"/>
  <c r="AE54" i="9"/>
  <c r="AO54" i="9"/>
  <c r="AG54" i="9"/>
  <c r="AM54" i="9"/>
  <c r="AJ54" i="9"/>
  <c r="U54" i="9"/>
  <c r="AP54" i="9"/>
  <c r="AQ54" i="9"/>
  <c r="AL54" i="9"/>
  <c r="AN54" i="9"/>
  <c r="AH54" i="9"/>
  <c r="AK54" i="9"/>
  <c r="AF54" i="9"/>
  <c r="AD54" i="9"/>
  <c r="AR54" i="9"/>
  <c r="AR48" i="9"/>
  <c r="AK48" i="9"/>
  <c r="AG48" i="9"/>
  <c r="AC48" i="9"/>
  <c r="AE48" i="9"/>
  <c r="AH48" i="9"/>
  <c r="AO48" i="9"/>
  <c r="AN48" i="9"/>
  <c r="AM48" i="9"/>
  <c r="AQ48" i="9"/>
  <c r="AL48" i="9"/>
  <c r="AJ48" i="9"/>
  <c r="AF48" i="9"/>
  <c r="AD48" i="9"/>
  <c r="AI48" i="9"/>
  <c r="AP48" i="9"/>
  <c r="AG57" i="9"/>
  <c r="AM57" i="9"/>
  <c r="AH57" i="9"/>
  <c r="AQ57" i="9"/>
  <c r="AF57" i="9"/>
  <c r="U57" i="9"/>
  <c r="AD57" i="9"/>
  <c r="AR57" i="9"/>
  <c r="AN57" i="9"/>
  <c r="AJ57" i="9"/>
  <c r="AP57" i="9"/>
  <c r="AI57" i="9"/>
  <c r="AE57" i="9"/>
  <c r="AC57" i="9"/>
  <c r="AO57" i="9"/>
  <c r="AL57" i="9"/>
  <c r="AK57" i="9"/>
  <c r="U84" i="9"/>
  <c r="AN84" i="9"/>
  <c r="P84" i="9" s="1"/>
  <c r="AI84" i="9"/>
  <c r="K84" i="9" s="1"/>
  <c r="AF84" i="9"/>
  <c r="H84" i="9" s="1"/>
  <c r="AL84" i="9"/>
  <c r="N84" i="9" s="1"/>
  <c r="AR84" i="9"/>
  <c r="T84" i="9" s="1"/>
  <c r="AL56" i="9"/>
  <c r="AR56" i="9"/>
  <c r="AH56" i="9"/>
  <c r="U56" i="9"/>
  <c r="AE56" i="9"/>
  <c r="AG56" i="9"/>
  <c r="AF56" i="9"/>
  <c r="AK56" i="9"/>
  <c r="AP56" i="9"/>
  <c r="AO56" i="9"/>
  <c r="AJ56" i="9"/>
  <c r="AD56" i="9"/>
  <c r="AC56" i="9"/>
  <c r="AM56" i="9"/>
  <c r="AN56" i="9"/>
  <c r="AQ56" i="9"/>
  <c r="AI56" i="9"/>
  <c r="AE52" i="9"/>
  <c r="AG52" i="9"/>
  <c r="AR52" i="9"/>
  <c r="AC52" i="9"/>
  <c r="AN52" i="9"/>
  <c r="AI52" i="9"/>
  <c r="AJ52" i="9"/>
  <c r="AM52" i="9"/>
  <c r="AF52" i="9"/>
  <c r="AP52" i="9"/>
  <c r="AH52" i="9"/>
  <c r="AO52" i="9"/>
  <c r="AL52" i="9"/>
  <c r="U52" i="9"/>
  <c r="AK52" i="9"/>
  <c r="AQ52" i="9"/>
  <c r="AD52" i="9"/>
  <c r="AI50" i="9"/>
  <c r="AG50" i="9"/>
  <c r="AL50" i="9"/>
  <c r="AC50" i="9"/>
  <c r="AK50" i="9"/>
  <c r="AH50" i="9"/>
  <c r="AF50" i="9"/>
  <c r="AD50" i="9"/>
  <c r="AR50" i="9"/>
  <c r="AM50" i="9"/>
  <c r="AP50" i="9"/>
  <c r="AO50" i="9"/>
  <c r="AJ50" i="9"/>
  <c r="AN50" i="9"/>
  <c r="AE50" i="9"/>
  <c r="AQ50" i="9"/>
  <c r="AG51" i="9"/>
  <c r="AL51" i="9"/>
  <c r="AK51" i="9"/>
  <c r="AP51" i="9"/>
  <c r="AC51" i="9"/>
  <c r="AO51" i="9"/>
  <c r="AJ51" i="9"/>
  <c r="AD51" i="9"/>
  <c r="U51" i="9"/>
  <c r="AE51" i="9"/>
  <c r="AI51" i="9"/>
  <c r="AH51" i="9"/>
  <c r="AQ51" i="9"/>
  <c r="AF51" i="9"/>
  <c r="AN51" i="9"/>
  <c r="AM51" i="9"/>
  <c r="AR51" i="9"/>
  <c r="AL53" i="9"/>
  <c r="AE53" i="9"/>
  <c r="AK53" i="9"/>
  <c r="AI53" i="9"/>
  <c r="AN53" i="9"/>
  <c r="AP53" i="9"/>
  <c r="AR53" i="9"/>
  <c r="AM53" i="9"/>
  <c r="AQ53" i="9"/>
  <c r="AD53" i="9"/>
  <c r="AF53" i="9"/>
  <c r="AG53" i="9"/>
  <c r="AO53" i="9"/>
  <c r="AH53" i="9"/>
  <c r="U53" i="9"/>
  <c r="AC53" i="9"/>
  <c r="AJ53" i="9"/>
  <c r="AJ55" i="9"/>
  <c r="AQ55" i="9"/>
  <c r="AP55" i="9"/>
  <c r="AL55" i="9"/>
  <c r="AD55" i="9"/>
  <c r="AR55" i="9"/>
  <c r="AM55" i="9"/>
  <c r="AN55" i="9"/>
  <c r="AH55" i="9"/>
  <c r="AK55" i="9"/>
  <c r="AG55" i="9"/>
  <c r="AC55" i="9"/>
  <c r="AF55" i="9"/>
  <c r="AO55" i="9"/>
  <c r="AE55" i="9"/>
  <c r="U55" i="9"/>
  <c r="AI55" i="9"/>
  <c r="AC84" i="9"/>
  <c r="E84" i="9" s="1"/>
  <c r="AJ84" i="9"/>
  <c r="L84" i="9" s="1"/>
  <c r="AE84" i="9"/>
  <c r="G84" i="9" s="1"/>
  <c r="AM84" i="9"/>
  <c r="O84" i="9" s="1"/>
  <c r="AF59" i="9"/>
  <c r="AM59" i="9"/>
  <c r="AR59" i="9"/>
  <c r="AC59" i="9"/>
  <c r="AJ59" i="9"/>
  <c r="AQ59" i="9"/>
  <c r="U59" i="9"/>
  <c r="AI59" i="9"/>
  <c r="AG59" i="9"/>
  <c r="AH59" i="9"/>
  <c r="AL59" i="9"/>
  <c r="AO59" i="9"/>
  <c r="AD59" i="9"/>
  <c r="AE59" i="9"/>
  <c r="AP59" i="9"/>
  <c r="AN59" i="9"/>
  <c r="AK59" i="9"/>
  <c r="AK47" i="9"/>
  <c r="AH47" i="9"/>
  <c r="AN47" i="9"/>
  <c r="AR47" i="9"/>
  <c r="AC47" i="9"/>
  <c r="AE47" i="9"/>
  <c r="AI47" i="9"/>
  <c r="AQ47" i="9"/>
  <c r="C63" i="9"/>
  <c r="AJ47" i="9"/>
  <c r="AP47" i="9"/>
  <c r="AG47" i="9"/>
  <c r="AM47" i="9"/>
  <c r="AL47" i="9"/>
  <c r="AO47" i="9"/>
  <c r="AF47" i="9"/>
  <c r="AD47" i="9"/>
  <c r="AJ58" i="9"/>
  <c r="AG58" i="9"/>
  <c r="AF58" i="9"/>
  <c r="AQ58" i="9"/>
  <c r="AK58" i="9"/>
  <c r="AO58" i="9"/>
  <c r="AM58" i="9"/>
  <c r="AN58" i="9"/>
  <c r="AD58" i="9"/>
  <c r="AH58" i="9"/>
  <c r="AP58" i="9"/>
  <c r="AL58" i="9"/>
  <c r="AC58" i="9"/>
  <c r="AE58" i="9"/>
  <c r="AR58" i="9"/>
  <c r="AI58" i="9"/>
  <c r="U58" i="9"/>
  <c r="AD62" i="9"/>
  <c r="AK62" i="9"/>
  <c r="AF62" i="9"/>
  <c r="AJ62" i="9"/>
  <c r="AM62" i="9"/>
  <c r="AC62" i="9"/>
  <c r="AN62" i="9"/>
  <c r="AL62" i="9"/>
  <c r="AI62" i="9"/>
  <c r="AR62" i="9"/>
  <c r="AG62" i="9"/>
  <c r="AH62" i="9"/>
  <c r="AO62" i="9"/>
  <c r="AQ62" i="9"/>
  <c r="AP62" i="9"/>
  <c r="AE62" i="9"/>
  <c r="AK84" i="9"/>
  <c r="M84" i="9" s="1"/>
  <c r="AP84" i="9"/>
  <c r="R84" i="9" s="1"/>
  <c r="AH84" i="9"/>
  <c r="J84" i="9" s="1"/>
  <c r="AO84" i="9"/>
  <c r="Q84" i="9" s="1"/>
  <c r="A17" i="11" l="1"/>
  <c r="I93" i="11"/>
  <c r="I94" i="11" s="1"/>
  <c r="K20" i="6" s="1"/>
  <c r="M20" i="6" s="1"/>
  <c r="H20" i="6" s="1"/>
  <c r="M33" i="12"/>
  <c r="D54" i="11"/>
  <c r="E52" i="11"/>
  <c r="B82" i="11" s="1"/>
  <c r="U63" i="9"/>
  <c r="AP63" i="9"/>
  <c r="R63" i="9" s="1"/>
  <c r="AN63" i="9"/>
  <c r="P63" i="9" s="1"/>
  <c r="AK63" i="9"/>
  <c r="M63" i="9" s="1"/>
  <c r="AD63" i="9"/>
  <c r="F63" i="9" s="1"/>
  <c r="AM63" i="9"/>
  <c r="O63" i="9" s="1"/>
  <c r="AC63" i="9"/>
  <c r="E63" i="9" s="1"/>
  <c r="AF63" i="9"/>
  <c r="H63" i="9" s="1"/>
  <c r="AG63" i="9"/>
  <c r="I63" i="9" s="1"/>
  <c r="AQ63" i="9"/>
  <c r="S63" i="9" s="1"/>
  <c r="Q76" i="8" s="1"/>
  <c r="AR63" i="9"/>
  <c r="T63" i="9" s="1"/>
  <c r="AO63" i="9"/>
  <c r="Q63" i="9" s="1"/>
  <c r="AI63" i="9"/>
  <c r="K63" i="9" s="1"/>
  <c r="AL63" i="9"/>
  <c r="N63" i="9" s="1"/>
  <c r="AJ63" i="9"/>
  <c r="L63" i="9" s="1"/>
  <c r="AE63" i="9"/>
  <c r="G63" i="9" s="1"/>
  <c r="AH63" i="9"/>
  <c r="J63" i="9" s="1"/>
  <c r="D11" i="6"/>
  <c r="F11" i="6" s="1"/>
  <c r="H11" i="6" s="1"/>
  <c r="D55" i="11" l="1"/>
  <c r="G54" i="11"/>
  <c r="O19" i="12"/>
  <c r="I85" i="11"/>
  <c r="I86" i="11" s="1"/>
  <c r="I87" i="11" l="1"/>
  <c r="Q56" i="11" s="1"/>
  <c r="B40" i="1"/>
  <c r="J54" i="11"/>
  <c r="G55" i="11"/>
  <c r="K46" i="11" l="1"/>
  <c r="D21" i="6" s="1"/>
  <c r="F21" i="6" s="1"/>
  <c r="H21" i="6" s="1"/>
  <c r="K21" i="6"/>
  <c r="I90" i="11"/>
  <c r="M46" i="11" s="1"/>
  <c r="E22" i="6" s="1"/>
  <c r="H22" i="6" s="1"/>
  <c r="J55" i="11"/>
  <c r="E46" i="11" s="1"/>
  <c r="B49" i="1"/>
  <c r="K47" i="11"/>
  <c r="L49" i="12"/>
  <c r="M49" i="12" s="1"/>
  <c r="D72" i="11" s="1"/>
  <c r="E72" i="11" s="1"/>
  <c r="O72" i="11" s="1"/>
  <c r="G39" i="14"/>
  <c r="L37" i="12" s="1"/>
  <c r="G41" i="14"/>
  <c r="L39" i="12" s="1"/>
  <c r="G42" i="14"/>
  <c r="L40" i="12" s="1"/>
  <c r="G46" i="14"/>
  <c r="L44" i="12" s="1"/>
  <c r="M44" i="12" s="1"/>
  <c r="D67" i="11" s="1"/>
  <c r="G49" i="14"/>
  <c r="L47" i="12" s="1"/>
  <c r="M47" i="12" s="1"/>
  <c r="G48" i="14"/>
  <c r="L46" i="12" s="1"/>
  <c r="G47" i="14"/>
  <c r="L45" i="12" s="1"/>
  <c r="G43" i="14"/>
  <c r="L41" i="12" s="1"/>
  <c r="M41" i="12" s="1"/>
  <c r="D64" i="11" s="1"/>
  <c r="G45" i="14"/>
  <c r="L43" i="12" s="1"/>
  <c r="M43" i="12" s="1"/>
  <c r="D66" i="11" s="1"/>
  <c r="G50" i="14"/>
  <c r="L48" i="12" s="1"/>
  <c r="G44" i="14"/>
  <c r="L42" i="12" s="1"/>
  <c r="G40" i="14"/>
  <c r="L38" i="12" s="1"/>
  <c r="M38" i="12" s="1"/>
  <c r="D61" i="11" s="1"/>
  <c r="E61" i="11" s="1"/>
  <c r="D10" i="6" l="1"/>
  <c r="F10" i="6" s="1"/>
  <c r="H10" i="6" s="1"/>
  <c r="E47" i="11"/>
  <c r="M37" i="12"/>
  <c r="D60" i="11" s="1"/>
  <c r="E60" i="11" s="1"/>
  <c r="M48" i="12"/>
  <c r="D71" i="11" s="1"/>
  <c r="E71" i="11" s="1"/>
  <c r="M46" i="12"/>
  <c r="D69" i="11" s="1"/>
  <c r="E69" i="11" s="1"/>
  <c r="M39" i="12"/>
  <c r="D62" i="11" s="1"/>
  <c r="O66" i="11" s="1"/>
  <c r="E66" i="11"/>
  <c r="E64" i="11"/>
  <c r="E67" i="11"/>
  <c r="S72" i="11"/>
  <c r="S62" i="11" s="1"/>
  <c r="T62" i="11" s="1"/>
  <c r="V62" i="11" s="1"/>
  <c r="E45" i="3" s="1"/>
  <c r="C6" i="16" s="1"/>
  <c r="M42" i="12"/>
  <c r="D65" i="11" s="1"/>
  <c r="M45" i="12"/>
  <c r="D68" i="11" s="1"/>
  <c r="M40" i="12"/>
  <c r="D63" i="11" s="1"/>
  <c r="D70" i="11"/>
  <c r="G54" i="14"/>
  <c r="L52" i="12"/>
  <c r="O71" i="11" l="1"/>
  <c r="S66" i="11"/>
  <c r="T66" i="11" s="1"/>
  <c r="V66" i="11" s="1"/>
  <c r="E49" i="3" s="1"/>
  <c r="C10" i="16" s="1"/>
  <c r="B83" i="11"/>
  <c r="B81" i="11" s="1"/>
  <c r="S60" i="11"/>
  <c r="T60" i="11" s="1"/>
  <c r="V60" i="11" s="1"/>
  <c r="E43" i="3" s="1"/>
  <c r="C4" i="16" s="1"/>
  <c r="AO4" i="16" s="1"/>
  <c r="O64" i="11"/>
  <c r="S64" i="11" s="1"/>
  <c r="T64" i="11" s="1"/>
  <c r="V64" i="11" s="1"/>
  <c r="E47" i="3" s="1"/>
  <c r="C8" i="16" s="1"/>
  <c r="AM8" i="16" s="1"/>
  <c r="E62" i="11"/>
  <c r="S61" i="11"/>
  <c r="T61" i="11" s="1"/>
  <c r="V61" i="11" s="1"/>
  <c r="E44" i="3" s="1"/>
  <c r="C5" i="16" s="1"/>
  <c r="AH5" i="16" s="1"/>
  <c r="O69" i="11"/>
  <c r="S69" i="11" s="1"/>
  <c r="T69" i="11" s="1"/>
  <c r="O67" i="11"/>
  <c r="S67" i="11" s="1"/>
  <c r="T67" i="11" s="1"/>
  <c r="E68" i="11"/>
  <c r="O68" i="11"/>
  <c r="S68" i="11" s="1"/>
  <c r="T68" i="11" s="1"/>
  <c r="E65" i="11"/>
  <c r="O65" i="11"/>
  <c r="S65" i="11" s="1"/>
  <c r="AM6" i="16"/>
  <c r="AE6" i="16"/>
  <c r="AR6" i="16"/>
  <c r="AG6" i="16"/>
  <c r="AK6" i="16"/>
  <c r="AH6" i="16"/>
  <c r="AF6" i="16"/>
  <c r="AN6" i="16"/>
  <c r="AI6" i="16"/>
  <c r="AJ6" i="16"/>
  <c r="AO6" i="16"/>
  <c r="AB27" i="16"/>
  <c r="AL6" i="16"/>
  <c r="AP6" i="16"/>
  <c r="AD6" i="16"/>
  <c r="AC6" i="16"/>
  <c r="AQ6" i="16"/>
  <c r="E70" i="11"/>
  <c r="O70" i="11"/>
  <c r="S70" i="11" s="1"/>
  <c r="T70" i="11" s="1"/>
  <c r="V70" i="11" s="1"/>
  <c r="E53" i="3" s="1"/>
  <c r="C14" i="16" s="1"/>
  <c r="E63" i="11"/>
  <c r="O63" i="11"/>
  <c r="S63" i="11" s="1"/>
  <c r="T63" i="11" s="1"/>
  <c r="V63" i="11" s="1"/>
  <c r="E46" i="3" s="1"/>
  <c r="C7" i="16" s="1"/>
  <c r="M52" i="12"/>
  <c r="D75" i="11" s="1"/>
  <c r="E75" i="11" s="1"/>
  <c r="S71" i="11"/>
  <c r="T71" i="11" s="1"/>
  <c r="AG5" i="16" l="1"/>
  <c r="AR5" i="16"/>
  <c r="N56" i="11"/>
  <c r="B91" i="11"/>
  <c r="B92" i="11" s="1"/>
  <c r="K15" i="6" s="1"/>
  <c r="M15" i="6" s="1"/>
  <c r="H15" i="6" s="1"/>
  <c r="AQ5" i="16"/>
  <c r="AN5" i="16"/>
  <c r="AE5" i="16"/>
  <c r="AM5" i="16"/>
  <c r="AF5" i="16"/>
  <c r="AP5" i="16"/>
  <c r="AC5" i="16"/>
  <c r="AK4" i="16"/>
  <c r="AB26" i="16"/>
  <c r="AK5" i="16"/>
  <c r="AJ5" i="16"/>
  <c r="AD5" i="16"/>
  <c r="AE4" i="16"/>
  <c r="AD4" i="16"/>
  <c r="AL5" i="16"/>
  <c r="AO5" i="16"/>
  <c r="AI5" i="16"/>
  <c r="AN4" i="16"/>
  <c r="AL4" i="16"/>
  <c r="AH4" i="16"/>
  <c r="AG4" i="16"/>
  <c r="U8" i="16"/>
  <c r="AG8" i="16"/>
  <c r="AQ8" i="16"/>
  <c r="AF8" i="16"/>
  <c r="AJ4" i="16"/>
  <c r="AP4" i="16"/>
  <c r="AC4" i="16"/>
  <c r="AM4" i="16"/>
  <c r="AB25" i="16"/>
  <c r="AI8" i="16"/>
  <c r="B86" i="11"/>
  <c r="K16" i="6" s="1"/>
  <c r="AC8" i="16"/>
  <c r="AE8" i="16"/>
  <c r="AR8" i="16"/>
  <c r="AN8" i="16"/>
  <c r="AH8" i="16"/>
  <c r="AI4" i="16"/>
  <c r="AR4" i="16"/>
  <c r="AQ4" i="16"/>
  <c r="AF4" i="16"/>
  <c r="AP8" i="16"/>
  <c r="AK8" i="16"/>
  <c r="AJ8" i="16"/>
  <c r="AO8" i="16"/>
  <c r="AB29" i="16"/>
  <c r="AL8" i="16"/>
  <c r="AD8" i="16"/>
  <c r="AI10" i="16"/>
  <c r="AL10" i="16"/>
  <c r="AJ10" i="16"/>
  <c r="AK10" i="16"/>
  <c r="AO14" i="16"/>
  <c r="U14" i="16"/>
  <c r="AE14" i="16"/>
  <c r="AI14" i="16"/>
  <c r="AJ7" i="16"/>
  <c r="AG7" i="16"/>
  <c r="AM7" i="16"/>
  <c r="AQ7" i="16"/>
  <c r="AK7" i="16"/>
  <c r="AL7" i="16"/>
  <c r="AE7" i="16"/>
  <c r="AI7" i="16"/>
  <c r="AH7" i="16"/>
  <c r="AO7" i="16"/>
  <c r="AP7" i="16"/>
  <c r="AR7" i="16"/>
  <c r="AF7" i="16"/>
  <c r="AN7" i="16"/>
  <c r="AC7" i="16"/>
  <c r="AB28" i="16"/>
  <c r="AD7" i="16"/>
  <c r="AN10" i="16"/>
  <c r="AH10" i="16"/>
  <c r="AG14" i="16"/>
  <c r="O52" i="11"/>
  <c r="AP10" i="16"/>
  <c r="AR10" i="16"/>
  <c r="AB35" i="16"/>
  <c r="AC14" i="16"/>
  <c r="AB31" i="16"/>
  <c r="AG10" i="16"/>
  <c r="AD10" i="16"/>
  <c r="AQ10" i="16"/>
  <c r="AE10" i="16"/>
  <c r="AC10" i="16"/>
  <c r="AJ14" i="16"/>
  <c r="AP14" i="16"/>
  <c r="AF14" i="16"/>
  <c r="AL14" i="16"/>
  <c r="AR14" i="16"/>
  <c r="AM14" i="16"/>
  <c r="AN14" i="16"/>
  <c r="AD14" i="16"/>
  <c r="V69" i="11"/>
  <c r="E52" i="3" s="1"/>
  <c r="C13" i="16" s="1"/>
  <c r="AK13" i="16" s="1"/>
  <c r="V68" i="11"/>
  <c r="E51" i="3" s="1"/>
  <c r="C12" i="16" s="1"/>
  <c r="V71" i="11"/>
  <c r="E54" i="3" s="1"/>
  <c r="C15" i="16" s="1"/>
  <c r="U10" i="16"/>
  <c r="AM10" i="16"/>
  <c r="AO10" i="16"/>
  <c r="AF10" i="16"/>
  <c r="AK14" i="16"/>
  <c r="AH14" i="16"/>
  <c r="AQ14" i="16"/>
  <c r="V67" i="11"/>
  <c r="E50" i="3" s="1"/>
  <c r="C11" i="16" s="1"/>
  <c r="G46" i="11"/>
  <c r="G47" i="11" s="1"/>
  <c r="D16" i="6" s="1"/>
  <c r="O75" i="11"/>
  <c r="S75" i="11"/>
  <c r="T65" i="11"/>
  <c r="V65" i="11" s="1"/>
  <c r="E48" i="3" s="1"/>
  <c r="B87" i="11" l="1"/>
  <c r="B88" i="11" s="1"/>
  <c r="AM15" i="16"/>
  <c r="AL15" i="16"/>
  <c r="F16" i="6"/>
  <c r="H16" i="6" s="1"/>
  <c r="AE11" i="16"/>
  <c r="AR11" i="16"/>
  <c r="AO11" i="16"/>
  <c r="AD12" i="16"/>
  <c r="AL12" i="16"/>
  <c r="AI12" i="16"/>
  <c r="AK12" i="16"/>
  <c r="AJ12" i="16"/>
  <c r="AQ12" i="16"/>
  <c r="AE12" i="16"/>
  <c r="U13" i="16"/>
  <c r="AO13" i="16"/>
  <c r="AJ15" i="16"/>
  <c r="AM12" i="16"/>
  <c r="AC12" i="16"/>
  <c r="AH12" i="16"/>
  <c r="AJ11" i="16"/>
  <c r="AC13" i="16"/>
  <c r="AQ13" i="16"/>
  <c r="AN12" i="16"/>
  <c r="AF12" i="16"/>
  <c r="U12" i="16"/>
  <c r="P52" i="11"/>
  <c r="S52" i="11"/>
  <c r="R54" i="11"/>
  <c r="AB34" i="16"/>
  <c r="AH15" i="16"/>
  <c r="AH13" i="16"/>
  <c r="AE13" i="16"/>
  <c r="AF13" i="16"/>
  <c r="AJ13" i="16"/>
  <c r="AP13" i="16"/>
  <c r="AF15" i="16"/>
  <c r="AQ15" i="16"/>
  <c r="AD15" i="16"/>
  <c r="AQ11" i="16"/>
  <c r="V75" i="11"/>
  <c r="AM13" i="16"/>
  <c r="AL13" i="16"/>
  <c r="AI15" i="16"/>
  <c r="AE15" i="16"/>
  <c r="AB36" i="16"/>
  <c r="AM11" i="16"/>
  <c r="U11" i="16"/>
  <c r="AC11" i="16"/>
  <c r="AG11" i="16"/>
  <c r="AP11" i="16"/>
  <c r="AI11" i="16"/>
  <c r="AK15" i="16"/>
  <c r="AG13" i="16"/>
  <c r="C16" i="16"/>
  <c r="AI16" i="16" s="1"/>
  <c r="AP15" i="16"/>
  <c r="AN15" i="16"/>
  <c r="AH11" i="16"/>
  <c r="AB32" i="16"/>
  <c r="AK11" i="16"/>
  <c r="AI13" i="16"/>
  <c r="AR13" i="16"/>
  <c r="AD13" i="16"/>
  <c r="AN13" i="16"/>
  <c r="U15" i="16"/>
  <c r="AC15" i="16"/>
  <c r="AO15" i="16"/>
  <c r="AO12" i="16"/>
  <c r="AB33" i="16"/>
  <c r="AG12" i="16"/>
  <c r="AR12" i="16"/>
  <c r="AN11" i="16"/>
  <c r="AF11" i="16"/>
  <c r="AP12" i="16"/>
  <c r="AD11" i="16"/>
  <c r="AL11" i="16"/>
  <c r="AG15" i="16"/>
  <c r="AR15" i="16"/>
  <c r="AK16" i="16"/>
  <c r="T75" i="11"/>
  <c r="I46" i="11"/>
  <c r="E18" i="6" s="1"/>
  <c r="AG16" i="16" l="1"/>
  <c r="K17" i="6"/>
  <c r="D17" i="6" s="1"/>
  <c r="F17" i="6" s="1"/>
  <c r="H17" i="6" s="1"/>
  <c r="B39" i="1"/>
  <c r="AJ16" i="16"/>
  <c r="R52" i="11"/>
  <c r="T52" i="11"/>
  <c r="V52" i="11" s="1"/>
  <c r="B96" i="11"/>
  <c r="B95" i="11" s="1"/>
  <c r="AM16" i="16"/>
  <c r="AC16" i="16"/>
  <c r="AB37" i="16"/>
  <c r="AP16" i="16"/>
  <c r="AQ16" i="16"/>
  <c r="AF16" i="16"/>
  <c r="AE16" i="16"/>
  <c r="AO16" i="16"/>
  <c r="AR16" i="16"/>
  <c r="U16" i="16"/>
  <c r="AN16" i="16"/>
  <c r="AD16" i="16"/>
  <c r="AL16" i="16"/>
  <c r="AH16" i="16"/>
  <c r="C17" i="16"/>
  <c r="AG17" i="16" s="1"/>
  <c r="H18" i="6"/>
  <c r="M75" i="11"/>
  <c r="AE17" i="16" l="1"/>
  <c r="AL17" i="16"/>
  <c r="AC17" i="16"/>
  <c r="Q24" i="8"/>
  <c r="Q25" i="8" s="1"/>
  <c r="E39" i="3"/>
  <c r="AQ17" i="16"/>
  <c r="AR17" i="16"/>
  <c r="AM17" i="16"/>
  <c r="C18" i="16"/>
  <c r="AD17" i="16"/>
  <c r="AN17" i="16"/>
  <c r="AH17" i="16"/>
  <c r="AP17" i="16"/>
  <c r="AF17" i="16"/>
  <c r="AJ17" i="16"/>
  <c r="AO17" i="16"/>
  <c r="AK17" i="16"/>
  <c r="U17" i="16"/>
  <c r="AB38" i="16"/>
  <c r="AI17" i="16"/>
  <c r="C9" i="16"/>
  <c r="E58" i="3"/>
  <c r="G36" i="3" l="1"/>
  <c r="K36" i="3"/>
  <c r="D29" i="6" s="1"/>
  <c r="F29" i="6" s="1"/>
  <c r="H29" i="6" s="1"/>
  <c r="L33" i="3"/>
  <c r="J33" i="3"/>
  <c r="P33" i="3"/>
  <c r="D33" i="3"/>
  <c r="H33" i="3"/>
  <c r="K24" i="4" s="1"/>
  <c r="B41" i="1"/>
  <c r="F33" i="3"/>
  <c r="N33" i="3"/>
  <c r="C13" i="3"/>
  <c r="U46" i="11"/>
  <c r="Q29" i="8"/>
  <c r="D13" i="6"/>
  <c r="F13" i="6" s="1"/>
  <c r="Q27" i="8"/>
  <c r="Q28" i="8"/>
  <c r="AO18" i="16"/>
  <c r="AN18" i="16"/>
  <c r="AQ18" i="16"/>
  <c r="AF18" i="16"/>
  <c r="AK18" i="16"/>
  <c r="U18" i="16"/>
  <c r="AD18" i="16"/>
  <c r="AG18" i="16"/>
  <c r="AI18" i="16"/>
  <c r="AR18" i="16"/>
  <c r="AM18" i="16"/>
  <c r="AJ18" i="16"/>
  <c r="AB39" i="16"/>
  <c r="AL18" i="16"/>
  <c r="AP18" i="16"/>
  <c r="AH18" i="16"/>
  <c r="AC18" i="16"/>
  <c r="AE18" i="16"/>
  <c r="U9" i="16"/>
  <c r="AE9" i="16"/>
  <c r="AP9" i="16"/>
  <c r="AI9" i="16"/>
  <c r="AK9" i="16"/>
  <c r="AQ9" i="16"/>
  <c r="AN9" i="16"/>
  <c r="C20" i="16"/>
  <c r="G33" i="16" s="1"/>
  <c r="AM9" i="16"/>
  <c r="AM20" i="16" s="1"/>
  <c r="O20" i="16" s="1"/>
  <c r="AG9" i="16"/>
  <c r="AO9" i="16"/>
  <c r="AO20" i="16" s="1"/>
  <c r="Q20" i="16" s="1"/>
  <c r="AJ9" i="16"/>
  <c r="AL9" i="16"/>
  <c r="AB30" i="16"/>
  <c r="AF9" i="16"/>
  <c r="AC9" i="16"/>
  <c r="AR9" i="16"/>
  <c r="AD9" i="16"/>
  <c r="AH9" i="16"/>
  <c r="AD20" i="16" l="1"/>
  <c r="F20" i="16" s="1"/>
  <c r="Q30" i="8"/>
  <c r="Q31" i="8" s="1"/>
  <c r="AH20" i="16"/>
  <c r="J20" i="16" s="1"/>
  <c r="AF20" i="16"/>
  <c r="H20" i="16" s="1"/>
  <c r="AN20" i="16"/>
  <c r="P20" i="16" s="1"/>
  <c r="AP20" i="16"/>
  <c r="R20" i="16" s="1"/>
  <c r="F24" i="4"/>
  <c r="D24" i="4"/>
  <c r="H24" i="4"/>
  <c r="AG20" i="16"/>
  <c r="I20" i="16" s="1"/>
  <c r="AQ20" i="16"/>
  <c r="S20" i="16" s="1"/>
  <c r="AE20" i="16"/>
  <c r="G20" i="16" s="1"/>
  <c r="AR20" i="16"/>
  <c r="T20" i="16" s="1"/>
  <c r="AL20" i="16"/>
  <c r="N20" i="16" s="1"/>
  <c r="AK20" i="16"/>
  <c r="M20" i="16" s="1"/>
  <c r="U20" i="16"/>
  <c r="C16" i="3" s="1"/>
  <c r="AC20" i="16"/>
  <c r="E20" i="16" s="1"/>
  <c r="AJ20" i="16"/>
  <c r="L20" i="16" s="1"/>
  <c r="AI20" i="16"/>
  <c r="K20" i="16" s="1"/>
  <c r="AB41" i="16"/>
  <c r="C73" i="16" s="1"/>
  <c r="E13" i="6" l="1"/>
  <c r="H13" i="6" s="1"/>
  <c r="Q32" i="8"/>
  <c r="Q55" i="8"/>
  <c r="C69" i="16"/>
  <c r="C71" i="16"/>
  <c r="C83" i="16"/>
  <c r="C72" i="16"/>
  <c r="C70" i="16"/>
  <c r="N38" i="16"/>
  <c r="N24" i="16" s="1"/>
  <c r="C68" i="16"/>
  <c r="C76" i="16"/>
  <c r="C77" i="16"/>
  <c r="C79" i="16"/>
  <c r="C78" i="16"/>
  <c r="C75" i="16"/>
  <c r="C74" i="16"/>
  <c r="C80" i="16"/>
  <c r="C81" i="16"/>
  <c r="C82" i="16"/>
  <c r="AH73" i="16"/>
  <c r="AN73" i="16"/>
  <c r="AK73" i="16"/>
  <c r="AM73" i="16"/>
  <c r="AQ73" i="16"/>
  <c r="AG73" i="16"/>
  <c r="AE73" i="16"/>
  <c r="AD73" i="16"/>
  <c r="AI73" i="16"/>
  <c r="AR73" i="16"/>
  <c r="AF73" i="16"/>
  <c r="AP73" i="16"/>
  <c r="AL73" i="16"/>
  <c r="AO73" i="16"/>
  <c r="AJ73" i="16"/>
  <c r="AC73" i="16"/>
  <c r="U73" i="16"/>
  <c r="G48" i="3"/>
  <c r="Q54" i="8" l="1"/>
  <c r="Q58" i="8"/>
  <c r="D28" i="6"/>
  <c r="F28" i="6" s="1"/>
  <c r="H28" i="6" s="1"/>
  <c r="Q59" i="8"/>
  <c r="Q57" i="8"/>
  <c r="AL78" i="16"/>
  <c r="AO78" i="16"/>
  <c r="AM78" i="16"/>
  <c r="AJ78" i="16"/>
  <c r="AK78" i="16"/>
  <c r="AD78" i="16"/>
  <c r="AI78" i="16"/>
  <c r="AQ78" i="16"/>
  <c r="AF78" i="16"/>
  <c r="AE78" i="16"/>
  <c r="U78" i="16"/>
  <c r="AC78" i="16"/>
  <c r="AH78" i="16"/>
  <c r="AN78" i="16"/>
  <c r="AP78" i="16"/>
  <c r="AG78" i="16"/>
  <c r="G53" i="3"/>
  <c r="AR78" i="16"/>
  <c r="AF83" i="16"/>
  <c r="AC83" i="16"/>
  <c r="AJ83" i="16"/>
  <c r="AO83" i="16"/>
  <c r="AR83" i="16"/>
  <c r="AE83" i="16"/>
  <c r="AG83" i="16"/>
  <c r="AM83" i="16"/>
  <c r="AK83" i="16"/>
  <c r="AH83" i="16"/>
  <c r="AI83" i="16"/>
  <c r="AQ83" i="16"/>
  <c r="AD83" i="16"/>
  <c r="AN83" i="16"/>
  <c r="AP83" i="16"/>
  <c r="G55" i="3"/>
  <c r="AL83" i="16"/>
  <c r="AR80" i="16"/>
  <c r="U80" i="16"/>
  <c r="AK80" i="16"/>
  <c r="AO80" i="16"/>
  <c r="AG80" i="16"/>
  <c r="AE80" i="16"/>
  <c r="AF80" i="16"/>
  <c r="AP80" i="16"/>
  <c r="AQ80" i="16"/>
  <c r="AN80" i="16"/>
  <c r="AM80" i="16"/>
  <c r="AH80" i="16"/>
  <c r="AJ80" i="16"/>
  <c r="AL80" i="16"/>
  <c r="AI80" i="16"/>
  <c r="AC80" i="16"/>
  <c r="AD80" i="16"/>
  <c r="AN79" i="16"/>
  <c r="AI79" i="16"/>
  <c r="AF79" i="16"/>
  <c r="G54" i="3"/>
  <c r="AG79" i="16"/>
  <c r="AH79" i="16"/>
  <c r="AD79" i="16"/>
  <c r="AO79" i="16"/>
  <c r="AC79" i="16"/>
  <c r="U79" i="16"/>
  <c r="AR79" i="16"/>
  <c r="AJ79" i="16"/>
  <c r="AK79" i="16"/>
  <c r="AP79" i="16"/>
  <c r="AM79" i="16"/>
  <c r="AQ79" i="16"/>
  <c r="AL79" i="16"/>
  <c r="AE79" i="16"/>
  <c r="AC69" i="16"/>
  <c r="AH69" i="16"/>
  <c r="AL69" i="16"/>
  <c r="AP69" i="16"/>
  <c r="AF69" i="16"/>
  <c r="AR69" i="16"/>
  <c r="AM69" i="16"/>
  <c r="AQ69" i="16"/>
  <c r="AI69" i="16"/>
  <c r="AO69" i="16"/>
  <c r="AK69" i="16"/>
  <c r="AE69" i="16"/>
  <c r="AG69" i="16"/>
  <c r="AN69" i="16"/>
  <c r="G44" i="3"/>
  <c r="AD69" i="16"/>
  <c r="AJ69" i="16"/>
  <c r="AN81" i="16"/>
  <c r="AO81" i="16"/>
  <c r="AF81" i="16"/>
  <c r="AE81" i="16"/>
  <c r="AI81" i="16"/>
  <c r="AG81" i="16"/>
  <c r="AQ81" i="16"/>
  <c r="AH81" i="16"/>
  <c r="AP81" i="16"/>
  <c r="AJ81" i="16"/>
  <c r="U81" i="16"/>
  <c r="AL81" i="16"/>
  <c r="AC81" i="16"/>
  <c r="AD81" i="16"/>
  <c r="AR81" i="16"/>
  <c r="AM81" i="16"/>
  <c r="AK81" i="16"/>
  <c r="AE68" i="16"/>
  <c r="AJ68" i="16"/>
  <c r="AQ68" i="16"/>
  <c r="AO68" i="16"/>
  <c r="C84" i="16"/>
  <c r="AI68" i="16"/>
  <c r="AN68" i="16"/>
  <c r="AR68" i="16"/>
  <c r="AL68" i="16"/>
  <c r="G43" i="3"/>
  <c r="AF68" i="16"/>
  <c r="AK68" i="16"/>
  <c r="AH68" i="16"/>
  <c r="AM68" i="16"/>
  <c r="AC68" i="16"/>
  <c r="AG68" i="16"/>
  <c r="AD68" i="16"/>
  <c r="AP68" i="16"/>
  <c r="C48" i="16"/>
  <c r="C62" i="16"/>
  <c r="C51" i="16"/>
  <c r="C50" i="16"/>
  <c r="C49" i="16"/>
  <c r="C47" i="16"/>
  <c r="C58" i="16"/>
  <c r="C53" i="16"/>
  <c r="C56" i="16"/>
  <c r="C55" i="16"/>
  <c r="C54" i="16"/>
  <c r="F39" i="3"/>
  <c r="C57" i="16"/>
  <c r="C59" i="16"/>
  <c r="C60" i="16"/>
  <c r="C61" i="16"/>
  <c r="C52" i="16"/>
  <c r="AH71" i="16"/>
  <c r="AL71" i="16"/>
  <c r="AD71" i="16"/>
  <c r="AF71" i="16"/>
  <c r="AG71" i="16"/>
  <c r="AM71" i="16"/>
  <c r="AJ71" i="16"/>
  <c r="AK71" i="16"/>
  <c r="AP71" i="16"/>
  <c r="AR71" i="16"/>
  <c r="G46" i="3"/>
  <c r="AO71" i="16"/>
  <c r="AC71" i="16"/>
  <c r="AI71" i="16"/>
  <c r="AN71" i="16"/>
  <c r="AQ71" i="16"/>
  <c r="AE71" i="16"/>
  <c r="AM74" i="16"/>
  <c r="AR74" i="16"/>
  <c r="AO74" i="16"/>
  <c r="AH74" i="16"/>
  <c r="AL74" i="16"/>
  <c r="AN74" i="16"/>
  <c r="AC74" i="16"/>
  <c r="AJ74" i="16"/>
  <c r="AG74" i="16"/>
  <c r="AF74" i="16"/>
  <c r="U74" i="16"/>
  <c r="AK74" i="16"/>
  <c r="AQ74" i="16"/>
  <c r="AD74" i="16"/>
  <c r="AI74" i="16"/>
  <c r="AP74" i="16"/>
  <c r="AE74" i="16"/>
  <c r="G49" i="3"/>
  <c r="G52" i="3"/>
  <c r="AR77" i="16"/>
  <c r="AH77" i="16"/>
  <c r="AD77" i="16"/>
  <c r="AG77" i="16"/>
  <c r="AP77" i="16"/>
  <c r="AM77" i="16"/>
  <c r="AC77" i="16"/>
  <c r="AN77" i="16"/>
  <c r="AL77" i="16"/>
  <c r="U77" i="16"/>
  <c r="AE77" i="16"/>
  <c r="AO77" i="16"/>
  <c r="AJ77" i="16"/>
  <c r="AF77" i="16"/>
  <c r="AK77" i="16"/>
  <c r="AQ77" i="16"/>
  <c r="AI77" i="16"/>
  <c r="AN70" i="16"/>
  <c r="AI70" i="16"/>
  <c r="AR70" i="16"/>
  <c r="AH70" i="16"/>
  <c r="AF70" i="16"/>
  <c r="AC70" i="16"/>
  <c r="AD70" i="16"/>
  <c r="AG70" i="16"/>
  <c r="G45" i="3"/>
  <c r="AK70" i="16"/>
  <c r="AP70" i="16"/>
  <c r="AE70" i="16"/>
  <c r="AM70" i="16"/>
  <c r="AO70" i="16"/>
  <c r="AQ70" i="16"/>
  <c r="AL70" i="16"/>
  <c r="AJ70" i="16"/>
  <c r="AR82" i="16"/>
  <c r="AL82" i="16"/>
  <c r="AP82" i="16"/>
  <c r="AC82" i="16"/>
  <c r="AG82" i="16"/>
  <c r="AJ82" i="16"/>
  <c r="AO82" i="16"/>
  <c r="AQ82" i="16"/>
  <c r="U82" i="16"/>
  <c r="AE82" i="16"/>
  <c r="AN82" i="16"/>
  <c r="AH82" i="16"/>
  <c r="AK82" i="16"/>
  <c r="AF82" i="16"/>
  <c r="AD82" i="16"/>
  <c r="AM82" i="16"/>
  <c r="AI82" i="16"/>
  <c r="AF75" i="16"/>
  <c r="AO75" i="16"/>
  <c r="AG75" i="16"/>
  <c r="AP75" i="16"/>
  <c r="AK75" i="16"/>
  <c r="AM75" i="16"/>
  <c r="AI75" i="16"/>
  <c r="U75" i="16"/>
  <c r="AL75" i="16"/>
  <c r="AD75" i="16"/>
  <c r="AE75" i="16"/>
  <c r="AC75" i="16"/>
  <c r="AJ75" i="16"/>
  <c r="AQ75" i="16"/>
  <c r="AR75" i="16"/>
  <c r="G50" i="3"/>
  <c r="AN75" i="16"/>
  <c r="AH75" i="16"/>
  <c r="AR76" i="16"/>
  <c r="AF76" i="16"/>
  <c r="AI76" i="16"/>
  <c r="AL76" i="16"/>
  <c r="U76" i="16"/>
  <c r="AG76" i="16"/>
  <c r="AE76" i="16"/>
  <c r="AH76" i="16"/>
  <c r="G51" i="3"/>
  <c r="AN76" i="16"/>
  <c r="AJ76" i="16"/>
  <c r="AP76" i="16"/>
  <c r="AQ76" i="16"/>
  <c r="AO76" i="16"/>
  <c r="AD76" i="16"/>
  <c r="AM76" i="16"/>
  <c r="AK76" i="16"/>
  <c r="AC76" i="16"/>
  <c r="AI72" i="16"/>
  <c r="AK72" i="16"/>
  <c r="AM72" i="16"/>
  <c r="AE72" i="16"/>
  <c r="AH72" i="16"/>
  <c r="AC72" i="16"/>
  <c r="G47" i="3"/>
  <c r="AJ72" i="16"/>
  <c r="AF72" i="16"/>
  <c r="AR72" i="16"/>
  <c r="AG72" i="16"/>
  <c r="AO72" i="16"/>
  <c r="AP72" i="16"/>
  <c r="AL72" i="16"/>
  <c r="AD72" i="16"/>
  <c r="U72" i="16"/>
  <c r="AQ72" i="16"/>
  <c r="AN72" i="16"/>
  <c r="Q60" i="8" l="1"/>
  <c r="U84" i="16"/>
  <c r="AD59" i="16"/>
  <c r="AR59" i="16"/>
  <c r="AN59" i="16"/>
  <c r="AQ59" i="16"/>
  <c r="AL59" i="16"/>
  <c r="AI59" i="16"/>
  <c r="U59" i="16"/>
  <c r="AM59" i="16"/>
  <c r="AH59" i="16"/>
  <c r="AG59" i="16"/>
  <c r="AP59" i="16"/>
  <c r="AK59" i="16"/>
  <c r="AJ59" i="16"/>
  <c r="AC59" i="16"/>
  <c r="AF59" i="16"/>
  <c r="AO59" i="16"/>
  <c r="AE59" i="16"/>
  <c r="AE55" i="16"/>
  <c r="AC55" i="16"/>
  <c r="F51" i="3"/>
  <c r="AQ55" i="16"/>
  <c r="AN55" i="16"/>
  <c r="AD55" i="16"/>
  <c r="AI55" i="16"/>
  <c r="AL55" i="16"/>
  <c r="AJ55" i="16"/>
  <c r="AH55" i="16"/>
  <c r="AF55" i="16"/>
  <c r="AK55" i="16"/>
  <c r="AO55" i="16"/>
  <c r="AP55" i="16"/>
  <c r="AG55" i="16"/>
  <c r="U55" i="16"/>
  <c r="AM55" i="16"/>
  <c r="AR55" i="16"/>
  <c r="AO47" i="16"/>
  <c r="AJ47" i="16"/>
  <c r="AI47" i="16"/>
  <c r="F43" i="3"/>
  <c r="AK47" i="16"/>
  <c r="AL47" i="16"/>
  <c r="AG47" i="16"/>
  <c r="AN47" i="16"/>
  <c r="AH47" i="16"/>
  <c r="AF47" i="16"/>
  <c r="AQ47" i="16"/>
  <c r="AD47" i="16"/>
  <c r="AC47" i="16"/>
  <c r="AP47" i="16"/>
  <c r="AR47" i="16"/>
  <c r="C63" i="16"/>
  <c r="AE47" i="16"/>
  <c r="AM47" i="16"/>
  <c r="AM62" i="16"/>
  <c r="AH62" i="16"/>
  <c r="AO62" i="16"/>
  <c r="AE62" i="16"/>
  <c r="AC62" i="16"/>
  <c r="AK62" i="16"/>
  <c r="AL62" i="16"/>
  <c r="F55" i="3"/>
  <c r="AQ62" i="16"/>
  <c r="AI62" i="16"/>
  <c r="AR62" i="16"/>
  <c r="AJ62" i="16"/>
  <c r="AF62" i="16"/>
  <c r="AD62" i="16"/>
  <c r="AP62" i="16"/>
  <c r="AN62" i="16"/>
  <c r="AG62" i="16"/>
  <c r="AG84" i="16"/>
  <c r="I84" i="16" s="1"/>
  <c r="AK84" i="16"/>
  <c r="M84" i="16" s="1"/>
  <c r="AR84" i="16"/>
  <c r="T84" i="16" s="1"/>
  <c r="AO84" i="16"/>
  <c r="Q84" i="16" s="1"/>
  <c r="AO52" i="16"/>
  <c r="F48" i="3"/>
  <c r="AH52" i="16"/>
  <c r="AD52" i="16"/>
  <c r="AK52" i="16"/>
  <c r="AN52" i="16"/>
  <c r="AL52" i="16"/>
  <c r="AQ52" i="16"/>
  <c r="AP52" i="16"/>
  <c r="U52" i="16"/>
  <c r="AI52" i="16"/>
  <c r="AG52" i="16"/>
  <c r="AR52" i="16"/>
  <c r="AF52" i="16"/>
  <c r="AC52" i="16"/>
  <c r="AM52" i="16"/>
  <c r="AE52" i="16"/>
  <c r="AJ52" i="16"/>
  <c r="AD57" i="16"/>
  <c r="AQ57" i="16"/>
  <c r="AE57" i="16"/>
  <c r="AJ57" i="16"/>
  <c r="AC57" i="16"/>
  <c r="AF57" i="16"/>
  <c r="F53" i="3"/>
  <c r="AO57" i="16"/>
  <c r="AM57" i="16"/>
  <c r="AI57" i="16"/>
  <c r="AH57" i="16"/>
  <c r="AP57" i="16"/>
  <c r="AL57" i="16"/>
  <c r="AG57" i="16"/>
  <c r="AK57" i="16"/>
  <c r="AR57" i="16"/>
  <c r="U57" i="16"/>
  <c r="AN57" i="16"/>
  <c r="AI56" i="16"/>
  <c r="AM56" i="16"/>
  <c r="AP56" i="16"/>
  <c r="AH56" i="16"/>
  <c r="AJ56" i="16"/>
  <c r="AC56" i="16"/>
  <c r="AQ56" i="16"/>
  <c r="AR56" i="16"/>
  <c r="AF56" i="16"/>
  <c r="AE56" i="16"/>
  <c r="AO56" i="16"/>
  <c r="F52" i="3"/>
  <c r="U56" i="16"/>
  <c r="AN56" i="16"/>
  <c r="AL56" i="16"/>
  <c r="AD56" i="16"/>
  <c r="AK56" i="16"/>
  <c r="AG56" i="16"/>
  <c r="AO49" i="16"/>
  <c r="AN49" i="16"/>
  <c r="AC49" i="16"/>
  <c r="AG49" i="16"/>
  <c r="F45" i="3"/>
  <c r="AH49" i="16"/>
  <c r="AQ49" i="16"/>
  <c r="AM49" i="16"/>
  <c r="AJ49" i="16"/>
  <c r="AI49" i="16"/>
  <c r="AR49" i="16"/>
  <c r="AK49" i="16"/>
  <c r="AL49" i="16"/>
  <c r="AF49" i="16"/>
  <c r="AD49" i="16"/>
  <c r="AP49" i="16"/>
  <c r="AE49" i="16"/>
  <c r="AN48" i="16"/>
  <c r="AK48" i="16"/>
  <c r="AF48" i="16"/>
  <c r="AI48" i="16"/>
  <c r="AQ48" i="16"/>
  <c r="AP48" i="16"/>
  <c r="AO48" i="16"/>
  <c r="AJ48" i="16"/>
  <c r="AE48" i="16"/>
  <c r="AR48" i="16"/>
  <c r="AD48" i="16"/>
  <c r="AG48" i="16"/>
  <c r="F44" i="3"/>
  <c r="AM48" i="16"/>
  <c r="AC48" i="16"/>
  <c r="AH48" i="16"/>
  <c r="AL48" i="16"/>
  <c r="AC84" i="16"/>
  <c r="E84" i="16" s="1"/>
  <c r="AF84" i="16"/>
  <c r="H84" i="16" s="1"/>
  <c r="AN84" i="16"/>
  <c r="P84" i="16" s="1"/>
  <c r="AQ84" i="16"/>
  <c r="S84" i="16" s="1"/>
  <c r="AK61" i="16"/>
  <c r="AI61" i="16"/>
  <c r="AQ61" i="16"/>
  <c r="AO61" i="16"/>
  <c r="AF61" i="16"/>
  <c r="AD61" i="16"/>
  <c r="AM61" i="16"/>
  <c r="AL61" i="16"/>
  <c r="AH61" i="16"/>
  <c r="U61" i="16"/>
  <c r="AC61" i="16"/>
  <c r="AJ61" i="16"/>
  <c r="AR61" i="16"/>
  <c r="AP61" i="16"/>
  <c r="AG61" i="16"/>
  <c r="AE61" i="16"/>
  <c r="AN61" i="16"/>
  <c r="B45" i="1"/>
  <c r="L1" i="3"/>
  <c r="B44" i="1"/>
  <c r="AD53" i="16"/>
  <c r="AK53" i="16"/>
  <c r="AG53" i="16"/>
  <c r="AL53" i="16"/>
  <c r="AP53" i="16"/>
  <c r="AQ53" i="16"/>
  <c r="AN53" i="16"/>
  <c r="AI53" i="16"/>
  <c r="AF53" i="16"/>
  <c r="U53" i="16"/>
  <c r="AM53" i="16"/>
  <c r="AR53" i="16"/>
  <c r="AC53" i="16"/>
  <c r="AH53" i="16"/>
  <c r="F49" i="3"/>
  <c r="AE53" i="16"/>
  <c r="AJ53" i="16"/>
  <c r="AO53" i="16"/>
  <c r="AJ50" i="16"/>
  <c r="AN50" i="16"/>
  <c r="AG50" i="16"/>
  <c r="AP50" i="16"/>
  <c r="AO50" i="16"/>
  <c r="AD50" i="16"/>
  <c r="AE50" i="16"/>
  <c r="AC50" i="16"/>
  <c r="AK50" i="16"/>
  <c r="AM50" i="16"/>
  <c r="AF50" i="16"/>
  <c r="AQ50" i="16"/>
  <c r="AH50" i="16"/>
  <c r="AL50" i="16"/>
  <c r="AR50" i="16"/>
  <c r="F46" i="3"/>
  <c r="AI50" i="16"/>
  <c r="AP84" i="16"/>
  <c r="R84" i="16" s="1"/>
  <c r="AM84" i="16"/>
  <c r="O84" i="16" s="1"/>
  <c r="G58" i="3"/>
  <c r="AI84" i="16"/>
  <c r="K84" i="16" s="1"/>
  <c r="AJ84" i="16"/>
  <c r="L84" i="16" s="1"/>
  <c r="AH60" i="16"/>
  <c r="AP60" i="16"/>
  <c r="AR60" i="16"/>
  <c r="AG60" i="16"/>
  <c r="AQ60" i="16"/>
  <c r="AD60" i="16"/>
  <c r="AI60" i="16"/>
  <c r="AC60" i="16"/>
  <c r="AO60" i="16"/>
  <c r="AJ60" i="16"/>
  <c r="AL60" i="16"/>
  <c r="AK60" i="16"/>
  <c r="U60" i="16"/>
  <c r="AN60" i="16"/>
  <c r="AM60" i="16"/>
  <c r="AF60" i="16"/>
  <c r="AE60" i="16"/>
  <c r="AC54" i="16"/>
  <c r="AR54" i="16"/>
  <c r="AD54" i="16"/>
  <c r="AK54" i="16"/>
  <c r="AJ54" i="16"/>
  <c r="AO54" i="16"/>
  <c r="AH54" i="16"/>
  <c r="AL54" i="16"/>
  <c r="AP54" i="16"/>
  <c r="AM54" i="16"/>
  <c r="AQ54" i="16"/>
  <c r="U54" i="16"/>
  <c r="AI54" i="16"/>
  <c r="AG54" i="16"/>
  <c r="AE54" i="16"/>
  <c r="AF54" i="16"/>
  <c r="F50" i="3"/>
  <c r="AN54" i="16"/>
  <c r="AC58" i="16"/>
  <c r="AR58" i="16"/>
  <c r="AK58" i="16"/>
  <c r="AH58" i="16"/>
  <c r="AJ58" i="16"/>
  <c r="AD58" i="16"/>
  <c r="AL58" i="16"/>
  <c r="AE58" i="16"/>
  <c r="AP58" i="16"/>
  <c r="AM58" i="16"/>
  <c r="AI58" i="16"/>
  <c r="U58" i="16"/>
  <c r="AN58" i="16"/>
  <c r="AQ58" i="16"/>
  <c r="F54" i="3"/>
  <c r="AF58" i="16"/>
  <c r="AO58" i="16"/>
  <c r="AG58" i="16"/>
  <c r="AM51" i="16"/>
  <c r="AO51" i="16"/>
  <c r="AD51" i="16"/>
  <c r="AK51" i="16"/>
  <c r="AE51" i="16"/>
  <c r="AI51" i="16"/>
  <c r="AQ51" i="16"/>
  <c r="AL51" i="16"/>
  <c r="AJ51" i="16"/>
  <c r="AR51" i="16"/>
  <c r="F47" i="3"/>
  <c r="AN51" i="16"/>
  <c r="AF51" i="16"/>
  <c r="U51" i="16"/>
  <c r="AG51" i="16"/>
  <c r="AH51" i="16"/>
  <c r="AC51" i="16"/>
  <c r="AP51" i="16"/>
  <c r="AD84" i="16"/>
  <c r="F84" i="16" s="1"/>
  <c r="AH84" i="16"/>
  <c r="J84" i="16" s="1"/>
  <c r="AL84" i="16"/>
  <c r="N84" i="16" s="1"/>
  <c r="AE84" i="16"/>
  <c r="G84" i="16" s="1"/>
  <c r="Q62" i="8" l="1"/>
  <c r="E28" i="6"/>
  <c r="Q61" i="8"/>
  <c r="AE63" i="16"/>
  <c r="G63" i="16" s="1"/>
  <c r="AC63" i="16"/>
  <c r="E63" i="16" s="1"/>
  <c r="AH63" i="16"/>
  <c r="J63" i="16" s="1"/>
  <c r="AK63" i="16"/>
  <c r="M63" i="16" s="1"/>
  <c r="AO63" i="16"/>
  <c r="Q63" i="16" s="1"/>
  <c r="AD63" i="16"/>
  <c r="F63" i="16" s="1"/>
  <c r="AN63" i="16"/>
  <c r="P63" i="16" s="1"/>
  <c r="F58" i="3"/>
  <c r="AR63" i="16"/>
  <c r="T63" i="16" s="1"/>
  <c r="AQ63" i="16"/>
  <c r="S63" i="16" s="1"/>
  <c r="AG63" i="16"/>
  <c r="I63" i="16" s="1"/>
  <c r="AI63" i="16"/>
  <c r="K63" i="16" s="1"/>
  <c r="U63" i="16"/>
  <c r="G40" i="3" s="1"/>
  <c r="C23" i="3" s="1"/>
  <c r="B47" i="1" s="1"/>
  <c r="Q39" i="8"/>
  <c r="Q40" i="8" s="1"/>
  <c r="AM63" i="16"/>
  <c r="O63" i="16" s="1"/>
  <c r="AP63" i="16"/>
  <c r="R63" i="16" s="1"/>
  <c r="AF63" i="16"/>
  <c r="H63" i="16" s="1"/>
  <c r="AL63" i="16"/>
  <c r="N63" i="16" s="1"/>
  <c r="AJ63" i="16"/>
  <c r="L63" i="16" s="1"/>
  <c r="I36" i="3" l="1"/>
  <c r="Q42" i="8"/>
  <c r="Q43" i="8"/>
  <c r="D31" i="6"/>
  <c r="F31" i="6" s="1"/>
  <c r="Q44" i="8"/>
  <c r="Q85" i="8"/>
  <c r="B30" i="1"/>
  <c r="B48" i="1"/>
  <c r="Q45" i="8" l="1"/>
  <c r="Q47" i="8" s="1"/>
  <c r="Q86" i="8"/>
  <c r="H11" i="1" s="1"/>
  <c r="D4" i="6"/>
  <c r="E31" i="6" l="1"/>
  <c r="H31" i="6" s="1"/>
  <c r="Q46" i="8"/>
  <c r="Q80" i="8" s="1"/>
  <c r="Q81" i="8" s="1"/>
  <c r="E60" i="6" l="1"/>
  <c r="E61" i="6" s="1"/>
  <c r="H60" i="6"/>
  <c r="H37" i="6"/>
  <c r="E62" i="6" l="1"/>
  <c r="B42" i="1" s="1"/>
  <c r="B43" i="1" s="1"/>
  <c r="H39" i="6"/>
  <c r="H41" i="6" s="1"/>
  <c r="H58" i="6" s="1"/>
  <c r="H14" i="1" l="1"/>
  <c r="H12" i="1"/>
  <c r="B46" i="1"/>
  <c r="Q5" i="3"/>
  <c r="Q2" i="3" s="1"/>
  <c r="H64" i="6"/>
  <c r="H59" i="6"/>
  <c r="H15" i="1" l="1"/>
  <c r="H13" i="1"/>
  <c r="H65" i="6"/>
  <c r="F7" i="1"/>
  <c r="H7" i="1" l="1"/>
  <c r="F9" i="1"/>
  <c r="H9" i="1" s="1"/>
</calcChain>
</file>

<file path=xl/sharedStrings.xml><?xml version="1.0" encoding="utf-8"?>
<sst xmlns="http://schemas.openxmlformats.org/spreadsheetml/2006/main" count="1594" uniqueCount="627">
  <si>
    <t>gals/day</t>
  </si>
  <si>
    <t>Bpd</t>
  </si>
  <si>
    <t>Water</t>
  </si>
  <si>
    <t>H2S</t>
  </si>
  <si>
    <t>C02</t>
  </si>
  <si>
    <t>N2</t>
  </si>
  <si>
    <t>C1</t>
  </si>
  <si>
    <t>C2</t>
  </si>
  <si>
    <t>C3</t>
  </si>
  <si>
    <t>iC4</t>
  </si>
  <si>
    <t>nC4</t>
  </si>
  <si>
    <t>Btex</t>
  </si>
  <si>
    <t>Inlet Gals/Mcfd</t>
  </si>
  <si>
    <t>C2 Recovery</t>
  </si>
  <si>
    <t>C3 Recovery</t>
  </si>
  <si>
    <t>C4+ Recovery</t>
  </si>
  <si>
    <t>NGL Production</t>
  </si>
  <si>
    <t>MMscfd</t>
  </si>
  <si>
    <t>Residue Volume</t>
  </si>
  <si>
    <t xml:space="preserve"> </t>
  </si>
  <si>
    <t>75 F</t>
  </si>
  <si>
    <t>0F</t>
  </si>
  <si>
    <t>-37F</t>
  </si>
  <si>
    <t xml:space="preserve"> -19F</t>
  </si>
  <si>
    <t xml:space="preserve">      -30F</t>
  </si>
  <si>
    <t>-88F</t>
  </si>
  <si>
    <t>-121F</t>
  </si>
  <si>
    <t>-159F</t>
  </si>
  <si>
    <t>-71F</t>
  </si>
  <si>
    <t xml:space="preserve">             130 F</t>
  </si>
  <si>
    <t xml:space="preserve">        89 F</t>
  </si>
  <si>
    <t>233F</t>
  </si>
  <si>
    <t>60F</t>
  </si>
  <si>
    <t>1215 psig</t>
  </si>
  <si>
    <t>50 F, 255 psig</t>
  </si>
  <si>
    <t>Chiller</t>
  </si>
  <si>
    <t>Reboiler</t>
  </si>
  <si>
    <t>61F</t>
  </si>
  <si>
    <t>-19F</t>
  </si>
  <si>
    <t xml:space="preserve">      55F</t>
  </si>
  <si>
    <t>21F</t>
  </si>
  <si>
    <t>Hp</t>
  </si>
  <si>
    <t xml:space="preserve">            1st Stg</t>
  </si>
  <si>
    <t xml:space="preserve">            2nd Stg</t>
  </si>
  <si>
    <t>MMBtu/hr</t>
  </si>
  <si>
    <t>MMBtu/Hr</t>
  </si>
  <si>
    <t xml:space="preserve">               Condenser</t>
  </si>
  <si>
    <t xml:space="preserve">       Compressor</t>
  </si>
  <si>
    <t xml:space="preserve">      Compressor</t>
  </si>
  <si>
    <t xml:space="preserve">                      Chiller</t>
  </si>
  <si>
    <t>(assumes 75% efficiency)</t>
  </si>
  <si>
    <t>Storage</t>
  </si>
  <si>
    <t>Economizer</t>
  </si>
  <si>
    <t>Gas Plant Operating Expenses</t>
  </si>
  <si>
    <t>Required Hp</t>
  </si>
  <si>
    <t>Description</t>
  </si>
  <si>
    <t>Kw</t>
  </si>
  <si>
    <t>$/Kw or $/MMBtu</t>
  </si>
  <si>
    <t>Cost, $</t>
  </si>
  <si>
    <t>Calculations</t>
  </si>
  <si>
    <t>Materials &amp; Supplies</t>
  </si>
  <si>
    <t>Inlet Liquids Handling</t>
  </si>
  <si>
    <t>Pump Hp</t>
  </si>
  <si>
    <t>VRU Hp</t>
  </si>
  <si>
    <t>Mcfd</t>
  </si>
  <si>
    <t>Hp/MMcfd</t>
  </si>
  <si>
    <t>Inlet Compression</t>
  </si>
  <si>
    <t>Inlet Hp</t>
  </si>
  <si>
    <t>Amine System</t>
  </si>
  <si>
    <t>Chemicals</t>
  </si>
  <si>
    <t>gallons</t>
  </si>
  <si>
    <t>Metric Tons</t>
  </si>
  <si>
    <t>per ton</t>
  </si>
  <si>
    <t>200 KG</t>
  </si>
  <si>
    <t>1Bbl</t>
  </si>
  <si>
    <t>lbs/MT</t>
  </si>
  <si>
    <t>Reboiler Fuel Usage</t>
  </si>
  <si>
    <t>Glycol Dehydration</t>
  </si>
  <si>
    <t>gals/MT</t>
  </si>
  <si>
    <t>lbs/gal</t>
  </si>
  <si>
    <t>Mol Seive Dehydration</t>
  </si>
  <si>
    <t>Mol Seive</t>
  </si>
  <si>
    <t>Fuel Usage</t>
  </si>
  <si>
    <t>Recycle Compressor Hp</t>
  </si>
  <si>
    <t>Cryo</t>
  </si>
  <si>
    <t>Propane Compression Hp</t>
  </si>
  <si>
    <t>NGL pump Hp</t>
  </si>
  <si>
    <t>Residue Compression</t>
  </si>
  <si>
    <t>Outlet Hp</t>
  </si>
  <si>
    <t>Subtotal</t>
  </si>
  <si>
    <t>% of Subtotal</t>
  </si>
  <si>
    <t>Contingencies/Taxes</t>
  </si>
  <si>
    <t>Total Materials &amp; Supplies</t>
  </si>
  <si>
    <t>Labor</t>
  </si>
  <si>
    <t>Direct Labor</t>
  </si>
  <si>
    <t>No.</t>
  </si>
  <si>
    <t>Salary</t>
  </si>
  <si>
    <t>Overtime</t>
  </si>
  <si>
    <t>Benefits</t>
  </si>
  <si>
    <t>Total Cost</t>
  </si>
  <si>
    <t>Supervisor</t>
  </si>
  <si>
    <t>Operators</t>
  </si>
  <si>
    <t>Mechanic</t>
  </si>
  <si>
    <t>I&amp;E</t>
  </si>
  <si>
    <t>Utility</t>
  </si>
  <si>
    <t>Other</t>
  </si>
  <si>
    <t>Sub-total/Average</t>
  </si>
  <si>
    <t>Indirect Labor/Overhead</t>
  </si>
  <si>
    <t>% of Direct Costs</t>
  </si>
  <si>
    <t>Total Labor</t>
  </si>
  <si>
    <t>Annual Operating Expenses</t>
  </si>
  <si>
    <t>$/Mcf</t>
  </si>
  <si>
    <t>Recoveries</t>
  </si>
  <si>
    <t>Productions</t>
  </si>
  <si>
    <t>per hour</t>
  </si>
  <si>
    <t>NGL Pipeline Pumps</t>
  </si>
  <si>
    <t>Acid Gas Compression</t>
  </si>
  <si>
    <t>less Fuel</t>
  </si>
  <si>
    <t>MMBtu/day</t>
  </si>
  <si>
    <t>of inlet</t>
  </si>
  <si>
    <t>MMcfd</t>
  </si>
  <si>
    <t>Estimated Compression Hp Requirements (Hp/MMscfd)</t>
  </si>
  <si>
    <t>Suction Pressure</t>
  </si>
  <si>
    <t>psig</t>
  </si>
  <si>
    <t>Discharge Pressure</t>
  </si>
  <si>
    <t>Compression Ratio</t>
  </si>
  <si>
    <t>Hp/MMscfd</t>
  </si>
  <si>
    <t>From Chart</t>
  </si>
  <si>
    <t xml:space="preserve">Hp  </t>
  </si>
  <si>
    <t>Engine Energy Requirement</t>
  </si>
  <si>
    <t>gas driven</t>
  </si>
  <si>
    <t>Kw/day</t>
  </si>
  <si>
    <t>electrical driven</t>
  </si>
  <si>
    <t>Auxilary Energy Requirements</t>
  </si>
  <si>
    <t>From GPSA handbook</t>
  </si>
  <si>
    <t>Typical Energy Requirements - Gas Engines (fron GPSA Handbook)</t>
  </si>
  <si>
    <t xml:space="preserve">        Btu/bhp-hr</t>
  </si>
  <si>
    <t xml:space="preserve">       Fuel</t>
  </si>
  <si>
    <t>Power End Jackets</t>
  </si>
  <si>
    <t>Turbo After Coolers</t>
  </si>
  <si>
    <t xml:space="preserve">    Oil Coolers</t>
  </si>
  <si>
    <t xml:space="preserve">        Total</t>
  </si>
  <si>
    <t>6500 - 8500</t>
  </si>
  <si>
    <t xml:space="preserve">         1050 - 3600</t>
  </si>
  <si>
    <t xml:space="preserve">          108 - 350</t>
  </si>
  <si>
    <t xml:space="preserve">      265 - 445</t>
  </si>
  <si>
    <t>7800 - 12500</t>
  </si>
  <si>
    <t>Feed Stream (F)</t>
  </si>
  <si>
    <t>Comp</t>
  </si>
  <si>
    <t>Boiling Pt</t>
  </si>
  <si>
    <t>Vap Pres</t>
  </si>
  <si>
    <t>Freezing Pt</t>
  </si>
  <si>
    <t>Crit. Pres</t>
  </si>
  <si>
    <t>Crit. Temp</t>
  </si>
  <si>
    <t xml:space="preserve">         Density of Liquid</t>
  </si>
  <si>
    <t>Density in Vapor</t>
  </si>
  <si>
    <t>Cp ,Gas</t>
  </si>
  <si>
    <t>Cp. Liquid</t>
  </si>
  <si>
    <t>HV, gas</t>
  </si>
  <si>
    <t>HV, liq</t>
  </si>
  <si>
    <t>GPM</t>
  </si>
  <si>
    <t>mol%</t>
  </si>
  <si>
    <t>Formula</t>
  </si>
  <si>
    <t>MW</t>
  </si>
  <si>
    <t>F@1atm</t>
  </si>
  <si>
    <t>psia@100F</t>
  </si>
  <si>
    <t xml:space="preserve">F </t>
  </si>
  <si>
    <t>psia</t>
  </si>
  <si>
    <t>F</t>
  </si>
  <si>
    <t>Z</t>
  </si>
  <si>
    <t>Spec Grav</t>
  </si>
  <si>
    <t>lb/gal</t>
  </si>
  <si>
    <t>gal/lbmol</t>
  </si>
  <si>
    <t>ft3/lb</t>
  </si>
  <si>
    <t>Btu/lb-F</t>
  </si>
  <si>
    <t>Btu/ft3</t>
  </si>
  <si>
    <t>Btu/lb</t>
  </si>
  <si>
    <t>gals/Mcf</t>
  </si>
  <si>
    <t>Nitrogen</t>
  </si>
  <si>
    <t>Carbon Dioxide</t>
  </si>
  <si>
    <t>CO2</t>
  </si>
  <si>
    <t>Hydrogen Sulfide</t>
  </si>
  <si>
    <t>Methane</t>
  </si>
  <si>
    <t>CH4</t>
  </si>
  <si>
    <t>Ethane</t>
  </si>
  <si>
    <t>C2H6</t>
  </si>
  <si>
    <t>Propane</t>
  </si>
  <si>
    <t>C3H8</t>
  </si>
  <si>
    <t>isoButane</t>
  </si>
  <si>
    <t>C4H10</t>
  </si>
  <si>
    <t>nButane</t>
  </si>
  <si>
    <t>isoPentane</t>
  </si>
  <si>
    <t>C5H12</t>
  </si>
  <si>
    <t>nPentane</t>
  </si>
  <si>
    <t>C6+</t>
  </si>
  <si>
    <t>C6H14</t>
  </si>
  <si>
    <t>Benzene</t>
  </si>
  <si>
    <t>C6H6</t>
  </si>
  <si>
    <t>Toluene</t>
  </si>
  <si>
    <t>C7H8</t>
  </si>
  <si>
    <t>Ethylbenzene</t>
  </si>
  <si>
    <t>C9H10</t>
  </si>
  <si>
    <t>Xylene</t>
  </si>
  <si>
    <t>C8H10</t>
  </si>
  <si>
    <t>H20</t>
  </si>
  <si>
    <t>Ave Stream</t>
  </si>
  <si>
    <t>Recovery (L/F)</t>
  </si>
  <si>
    <t>Recovery</t>
  </si>
  <si>
    <t>%</t>
  </si>
  <si>
    <t>V</t>
  </si>
  <si>
    <t>V/F</t>
  </si>
  <si>
    <t>L</t>
  </si>
  <si>
    <t>L/F</t>
  </si>
  <si>
    <t>Vapor Stream (V)</t>
  </si>
  <si>
    <t>Liquid Stream (L)</t>
  </si>
  <si>
    <t>Estimating Hydrocarbon Dew Point and compostion of C6+ components in natural gas</t>
  </si>
  <si>
    <t>from Practial Hydrocarbon Dew Point Specs.  Authors Bullin, Fitz and Dustman</t>
  </si>
  <si>
    <t>Input</t>
  </si>
  <si>
    <t>GPM - C5s</t>
  </si>
  <si>
    <t>GPM - C6+</t>
  </si>
  <si>
    <t>from chromatograph</t>
  </si>
  <si>
    <t>Output</t>
  </si>
  <si>
    <t>GPM = A*(GPM - C5s)^B*((GPM-C6+)^C</t>
  </si>
  <si>
    <t>A</t>
  </si>
  <si>
    <t>B</t>
  </si>
  <si>
    <t>C</t>
  </si>
  <si>
    <t>C6</t>
  </si>
  <si>
    <t>C7</t>
  </si>
  <si>
    <t>C8</t>
  </si>
  <si>
    <t>C9</t>
  </si>
  <si>
    <t>C6 - C9</t>
  </si>
  <si>
    <t>Temp</t>
  </si>
  <si>
    <t>Pressure</t>
  </si>
  <si>
    <t>CHDP, F</t>
  </si>
  <si>
    <t>Field</t>
  </si>
  <si>
    <t>Plant Inlet Gas Volume</t>
  </si>
  <si>
    <t>Field Gas Volume</t>
  </si>
  <si>
    <t>iC5</t>
  </si>
  <si>
    <t>nC5</t>
  </si>
  <si>
    <t>Plant Usage, % of Plant Inlet Gas Volume</t>
  </si>
  <si>
    <t>Btu/cf</t>
  </si>
  <si>
    <t>Total Field Compression Usage</t>
  </si>
  <si>
    <t>Field Losses, % of Field Gas Volume</t>
  </si>
  <si>
    <t>Plant Inlet</t>
  </si>
  <si>
    <t>Total Plt Inlet Compression Usage</t>
  </si>
  <si>
    <t>Residue</t>
  </si>
  <si>
    <t>Refrigeration</t>
  </si>
  <si>
    <t>Regen Compressor</t>
  </si>
  <si>
    <t>Field Compression Fuel Usage</t>
  </si>
  <si>
    <t>Plant Compression Fuel Usage</t>
  </si>
  <si>
    <t>Field Compression  Hp</t>
  </si>
  <si>
    <t>Plant Compression Hp</t>
  </si>
  <si>
    <t>Total Compression Fuel Usage</t>
  </si>
  <si>
    <t>Total Compression Hp</t>
  </si>
  <si>
    <t xml:space="preserve">            Chiller</t>
  </si>
  <si>
    <t>Condensate Storage</t>
  </si>
  <si>
    <t>Water Storage</t>
  </si>
  <si>
    <t xml:space="preserve">                Vent</t>
  </si>
  <si>
    <t>Stabilizer</t>
  </si>
  <si>
    <t>deg F</t>
  </si>
  <si>
    <t>gpm</t>
  </si>
  <si>
    <t xml:space="preserve">             30 psig</t>
  </si>
  <si>
    <t>TEG Treater</t>
  </si>
  <si>
    <t>Mol Sieve</t>
  </si>
  <si>
    <t>Fuel Gas</t>
  </si>
  <si>
    <t>To</t>
  </si>
  <si>
    <t>DGA</t>
  </si>
  <si>
    <t>Treater</t>
  </si>
  <si>
    <t xml:space="preserve"> Inlet Compression</t>
  </si>
  <si>
    <t xml:space="preserve">  Inlet Liquids Handling</t>
  </si>
  <si>
    <t>on skid equipment</t>
  </si>
  <si>
    <t>Outlet Gas</t>
  </si>
  <si>
    <t>Inlet Gas</t>
  </si>
  <si>
    <t>Vent</t>
  </si>
  <si>
    <t xml:space="preserve">                 Slop Water</t>
  </si>
  <si>
    <t xml:space="preserve">                 Slop Oil</t>
  </si>
  <si>
    <t>Compressor</t>
  </si>
  <si>
    <t>Oil</t>
  </si>
  <si>
    <t>Stream</t>
  </si>
  <si>
    <t>T, deg F</t>
  </si>
  <si>
    <t>P, psig</t>
  </si>
  <si>
    <t>N2, %</t>
  </si>
  <si>
    <t xml:space="preserve"> Inlet Gas</t>
  </si>
  <si>
    <t>TEG Dehydration</t>
  </si>
  <si>
    <t>Hydrocarbons</t>
  </si>
  <si>
    <t>CO2 Compression</t>
  </si>
  <si>
    <t>4+</t>
  </si>
  <si>
    <t>Stages</t>
  </si>
  <si>
    <t xml:space="preserve">        VRU</t>
  </si>
  <si>
    <t>Emergency</t>
  </si>
  <si>
    <t>Flare</t>
  </si>
  <si>
    <t>Booster Site</t>
  </si>
  <si>
    <t>Number of Booster Sites</t>
  </si>
  <si>
    <t>TEG</t>
  </si>
  <si>
    <t>Total, %</t>
  </si>
  <si>
    <t>gals/min</t>
  </si>
  <si>
    <t>Fuel</t>
  </si>
  <si>
    <t>Loss &amp; Unaccountables</t>
  </si>
  <si>
    <t>Field Fuel Usage</t>
  </si>
  <si>
    <t xml:space="preserve">           Product Heater</t>
  </si>
  <si>
    <t xml:space="preserve">                 GGX</t>
  </si>
  <si>
    <t xml:space="preserve">           Residue Cooler</t>
  </si>
  <si>
    <t xml:space="preserve">            Subcooler</t>
  </si>
  <si>
    <t xml:space="preserve">            Side Reboiler</t>
  </si>
  <si>
    <t xml:space="preserve">           Exp/Comp</t>
  </si>
  <si>
    <t xml:space="preserve">        Res Comp</t>
  </si>
  <si>
    <t xml:space="preserve">            NGL Pump</t>
  </si>
  <si>
    <t>Field Losses</t>
  </si>
  <si>
    <t>Cryo Plant Inlet Volume</t>
  </si>
  <si>
    <t>Acid Gas Volume</t>
  </si>
  <si>
    <t>Mmscfd</t>
  </si>
  <si>
    <t>TEG Vent Volume</t>
  </si>
  <si>
    <t xml:space="preserve">          -155 F</t>
  </si>
  <si>
    <t>Shrink</t>
  </si>
  <si>
    <t>BPD</t>
  </si>
  <si>
    <t>Gals/Mcf</t>
  </si>
  <si>
    <t>Net Gals Recovered per Mcf</t>
  </si>
  <si>
    <t>Plant Fuel Use</t>
  </si>
  <si>
    <t>Residue Sales (less Plant Fuel)</t>
  </si>
  <si>
    <t>Sales</t>
  </si>
  <si>
    <t>Electricity Costs</t>
  </si>
  <si>
    <t>Fuel Costs</t>
  </si>
  <si>
    <t>Inputs</t>
  </si>
  <si>
    <t>MMscfd, Gas Production</t>
  </si>
  <si>
    <t>Bpd, Oil Production</t>
  </si>
  <si>
    <t>Required Hp - Field</t>
  </si>
  <si>
    <t>Bpd, Water Production</t>
  </si>
  <si>
    <t>Electricity Cost/ $/kwh</t>
  </si>
  <si>
    <t>Natural Gas Cost, $/Mmbtu</t>
  </si>
  <si>
    <t>Miles of Pipeline</t>
  </si>
  <si>
    <t># Gas and Liquid Meters</t>
  </si>
  <si>
    <t># Field Booster Sites</t>
  </si>
  <si>
    <t>#</t>
  </si>
  <si>
    <t>Calculations/Notes</t>
  </si>
  <si>
    <t># of Stations</t>
  </si>
  <si>
    <t>per sample</t>
  </si>
  <si>
    <t>samples per yr</t>
  </si>
  <si>
    <t>Field Pipelines and Pigging</t>
  </si>
  <si>
    <t>miles of PL</t>
  </si>
  <si>
    <t>PL Integrity costs per mile of PL per 7 yrs</t>
  </si>
  <si>
    <t>WH/Battery Compression/Liquids Handling</t>
  </si>
  <si>
    <t>Hp (gas)</t>
  </si>
  <si>
    <t>Hp (elec)</t>
  </si>
  <si>
    <t>VRU Hp (gas)</t>
  </si>
  <si>
    <t>Mcfd vent</t>
  </si>
  <si>
    <t>VRU Hp (elec)</t>
  </si>
  <si>
    <t>Booster  Compression/Liquids Handling</t>
  </si>
  <si>
    <t>Field Amine System</t>
  </si>
  <si>
    <t>Field Glycol Dehydration</t>
  </si>
  <si>
    <t>Field Subtotal</t>
  </si>
  <si>
    <t>Repair/Replacement Costs</t>
  </si>
  <si>
    <t>Property and ROW Taxes</t>
  </si>
  <si>
    <t>per hr</t>
  </si>
  <si>
    <t>Contract Mechanic</t>
  </si>
  <si>
    <t>Contract I&amp;E</t>
  </si>
  <si>
    <t>Fld Measurement Techs</t>
  </si>
  <si>
    <t>FTE's</t>
  </si>
  <si>
    <t>Measurement/Scada Support</t>
  </si>
  <si>
    <t xml:space="preserve">           Estimate</t>
  </si>
  <si>
    <t>Annual Op Expense less Fuel Usage</t>
  </si>
  <si>
    <t>$/Year</t>
  </si>
  <si>
    <t>Plant</t>
  </si>
  <si>
    <t>Total</t>
  </si>
  <si>
    <t>Operating Costs</t>
  </si>
  <si>
    <t>N2, mol%</t>
  </si>
  <si>
    <t>CO2, mol %</t>
  </si>
  <si>
    <t>H2S, mol %</t>
  </si>
  <si>
    <t>C1, mol %</t>
  </si>
  <si>
    <t>C2, mol 5</t>
  </si>
  <si>
    <t>C3, mol %</t>
  </si>
  <si>
    <t>iC4, mol %</t>
  </si>
  <si>
    <t>nC4, mol %</t>
  </si>
  <si>
    <t>iC5, mol %</t>
  </si>
  <si>
    <t>nC5, mol %</t>
  </si>
  <si>
    <t>C6+, mol %</t>
  </si>
  <si>
    <t>Btex, mol %</t>
  </si>
  <si>
    <t>Water, mol %</t>
  </si>
  <si>
    <t>Gas Gathering and Processing - Operating Cost Estimation</t>
  </si>
  <si>
    <t>Gathering Operating Expenses</t>
  </si>
  <si>
    <t>Total Hp Requirements</t>
  </si>
  <si>
    <t>VRU/TO</t>
  </si>
  <si>
    <t>Glycol Losses/Makeup</t>
  </si>
  <si>
    <t>Amine Losses/Makeup</t>
  </si>
  <si>
    <t>MMscfd/Meter</t>
  </si>
  <si>
    <t># Meters/Bstr</t>
  </si>
  <si>
    <t>BPD/Meter (entrained)</t>
  </si>
  <si>
    <t>Amine Circ Rate, gpm = K*Q*Y</t>
  </si>
  <si>
    <t>Q = Inlet Gas Rate, MMscfd</t>
  </si>
  <si>
    <t>Y = mol % of acid gas removed</t>
  </si>
  <si>
    <t>K = 1.25 for DGA and MDEA, 1.45 for DEA</t>
  </si>
  <si>
    <t>Miles of Gathering/Booster</t>
  </si>
  <si>
    <t>Meter Stations (Analysis)</t>
  </si>
  <si>
    <t>Meter Stations (Data Gathering/Analysis)</t>
  </si>
  <si>
    <t>per meter</t>
  </si>
  <si>
    <t xml:space="preserve">Field/Booster Usage  </t>
  </si>
  <si>
    <t>Field/Booster Usage, % of Field Gas Volume</t>
  </si>
  <si>
    <t>Btu/hp-hr</t>
  </si>
  <si>
    <t>From Handbook</t>
  </si>
  <si>
    <t>Average</t>
  </si>
  <si>
    <t>Amine circulation rate, gpm</t>
  </si>
  <si>
    <t>Steam Rate, lbs/hr</t>
  </si>
  <si>
    <t>Btu Rate, MMBtu/hr</t>
  </si>
  <si>
    <t>SlugCatcher Size</t>
  </si>
  <si>
    <t xml:space="preserve">        Amine Reboiler</t>
  </si>
  <si>
    <t xml:space="preserve">       Amine Pump</t>
  </si>
  <si>
    <t xml:space="preserve">            TEG Pump</t>
  </si>
  <si>
    <t>lb water/day removed</t>
  </si>
  <si>
    <t>lbs/minute water removed</t>
  </si>
  <si>
    <t>Glycol circulation rate, gpm</t>
  </si>
  <si>
    <t>gals glycol per lb H2O removed</t>
  </si>
  <si>
    <t>lb H2O/Mcf removed</t>
  </si>
  <si>
    <t>Btu/gal Glycol</t>
  </si>
  <si>
    <t>TEG Reboiler Rate, MMBtu/hr</t>
  </si>
  <si>
    <t xml:space="preserve">                  TEG Reboiler</t>
  </si>
  <si>
    <t>Calculating Mol Sieve Bed Diameter</t>
  </si>
  <si>
    <t>D= 4*ACFM/(3.14*V)</t>
  </si>
  <si>
    <t>ACFM = actual cu ft/min</t>
  </si>
  <si>
    <t>V = superficial velociy, ft/min</t>
  </si>
  <si>
    <t>27 at 800 psia</t>
  </si>
  <si>
    <t>22 at 1000 psia</t>
  </si>
  <si>
    <t>31 at 600 psia</t>
  </si>
  <si>
    <t>36 at 400 psia</t>
  </si>
  <si>
    <t>50 at 200 psia</t>
  </si>
  <si>
    <t>Total Fuel and Losses</t>
  </si>
  <si>
    <t>of Inlet MMBtu's</t>
  </si>
  <si>
    <t>Plant Fuel</t>
  </si>
  <si>
    <t>Field Fuel</t>
  </si>
  <si>
    <t>"Rapid Estimation of Water Content of Sour Natural Gases" by Bahadori, Vuthaluru &amp; Mokhatab</t>
  </si>
  <si>
    <t>Journal of the Japan Petroleum Institute, 52, (5), 270-274 (2009)</t>
  </si>
  <si>
    <t>http://www.jstage.jst.go.jp/article/jpi/52/5/270/_pdf</t>
  </si>
  <si>
    <t>where:</t>
  </si>
  <si>
    <r>
      <t>W</t>
    </r>
    <r>
      <rPr>
        <vertAlign val="subscript"/>
        <sz val="10"/>
        <rFont val="Arial"/>
        <family val="2"/>
      </rPr>
      <t>HC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</si>
  <si>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water content of </t>
    </r>
    <r>
      <rPr>
        <b/>
        <sz val="10"/>
        <rFont val="Arial"/>
        <family val="2"/>
      </rPr>
      <t>sweet</t>
    </r>
    <r>
      <rPr>
        <sz val="11"/>
        <color theme="1"/>
        <rFont val="Calibri"/>
        <family val="2"/>
        <scheme val="minor"/>
      </rPr>
      <t xml:space="preserve"> natural gas @saturation pressure &amp; temperature, mg/Sm</t>
    </r>
    <r>
      <rPr>
        <vertAlign val="superscript"/>
        <sz val="10"/>
        <rFont val="Arial"/>
        <family val="2"/>
      </rPr>
      <t>3</t>
    </r>
  </si>
  <si>
    <t>P =</t>
  </si>
  <si>
    <t>pressure, kPa (abs)</t>
  </si>
  <si>
    <t>T =</t>
  </si>
  <si>
    <t>temperature, K</t>
  </si>
  <si>
    <t>Value of Coefficients</t>
  </si>
  <si>
    <r>
      <t>A</t>
    </r>
    <r>
      <rPr>
        <vertAlign val="subscript"/>
        <sz val="10"/>
        <rFont val="Arial"/>
        <family val="2"/>
      </rPr>
      <t>1</t>
    </r>
  </si>
  <si>
    <r>
      <t>A</t>
    </r>
    <r>
      <rPr>
        <vertAlign val="subscript"/>
        <sz val="10"/>
        <rFont val="Arial"/>
        <family val="2"/>
      </rPr>
      <t>2</t>
    </r>
  </si>
  <si>
    <r>
      <t>A</t>
    </r>
    <r>
      <rPr>
        <vertAlign val="subscript"/>
        <sz val="10"/>
        <rFont val="Arial"/>
        <family val="2"/>
      </rPr>
      <t>3</t>
    </r>
  </si>
  <si>
    <r>
      <t>A</t>
    </r>
    <r>
      <rPr>
        <vertAlign val="subscript"/>
        <sz val="10"/>
        <rFont val="Arial"/>
        <family val="2"/>
      </rPr>
      <t>4</t>
    </r>
  </si>
  <si>
    <r>
      <t>B</t>
    </r>
    <r>
      <rPr>
        <vertAlign val="subscript"/>
        <sz val="10"/>
        <rFont val="Arial"/>
        <family val="2"/>
      </rPr>
      <t>1</t>
    </r>
  </si>
  <si>
    <r>
      <t>B</t>
    </r>
    <r>
      <rPr>
        <vertAlign val="subscript"/>
        <sz val="10"/>
        <rFont val="Arial"/>
        <family val="2"/>
      </rPr>
      <t>2</t>
    </r>
  </si>
  <si>
    <r>
      <t>B</t>
    </r>
    <r>
      <rPr>
        <vertAlign val="subscript"/>
        <sz val="10"/>
        <rFont val="Arial"/>
        <family val="2"/>
      </rPr>
      <t>3</t>
    </r>
  </si>
  <si>
    <r>
      <t>B</t>
    </r>
    <r>
      <rPr>
        <vertAlign val="subscript"/>
        <sz val="10"/>
        <rFont val="Arial"/>
        <family val="2"/>
      </rPr>
      <t>4</t>
    </r>
  </si>
  <si>
    <r>
      <t>C</t>
    </r>
    <r>
      <rPr>
        <vertAlign val="subscript"/>
        <sz val="10"/>
        <rFont val="Arial"/>
        <family val="2"/>
      </rPr>
      <t>1</t>
    </r>
  </si>
  <si>
    <r>
      <t>C</t>
    </r>
    <r>
      <rPr>
        <vertAlign val="subscript"/>
        <sz val="10"/>
        <rFont val="Arial"/>
        <family val="2"/>
      </rPr>
      <t>2</t>
    </r>
  </si>
  <si>
    <r>
      <t>C</t>
    </r>
    <r>
      <rPr>
        <vertAlign val="subscript"/>
        <sz val="10"/>
        <rFont val="Arial"/>
        <family val="2"/>
      </rPr>
      <t>3</t>
    </r>
  </si>
  <si>
    <r>
      <t>C</t>
    </r>
    <r>
      <rPr>
        <vertAlign val="subscript"/>
        <sz val="10"/>
        <rFont val="Arial"/>
        <family val="2"/>
      </rPr>
      <t>4</t>
    </r>
  </si>
  <si>
    <r>
      <t>D</t>
    </r>
    <r>
      <rPr>
        <vertAlign val="subscript"/>
        <sz val="10"/>
        <rFont val="Arial"/>
        <family val="2"/>
      </rPr>
      <t>1</t>
    </r>
  </si>
  <si>
    <r>
      <t>D</t>
    </r>
    <r>
      <rPr>
        <vertAlign val="subscript"/>
        <sz val="10"/>
        <rFont val="Arial"/>
        <family val="2"/>
      </rPr>
      <t>2</t>
    </r>
  </si>
  <si>
    <r>
      <t>D</t>
    </r>
    <r>
      <rPr>
        <vertAlign val="subscript"/>
        <sz val="10"/>
        <rFont val="Arial"/>
        <family val="2"/>
      </rPr>
      <t>3</t>
    </r>
  </si>
  <si>
    <r>
      <t>D</t>
    </r>
    <r>
      <rPr>
        <vertAlign val="subscript"/>
        <sz val="10"/>
        <rFont val="Arial"/>
        <family val="2"/>
      </rPr>
      <t>4</t>
    </r>
  </si>
  <si>
    <t>Inputs (Input data as psia and F and model calculates in kPa and C)</t>
  </si>
  <si>
    <t>kPa (abs)</t>
  </si>
  <si>
    <r>
      <t>˚</t>
    </r>
    <r>
      <rPr>
        <sz val="11"/>
        <color theme="1"/>
        <rFont val="Calibri"/>
        <family val="2"/>
        <scheme val="minor"/>
      </rPr>
      <t>C</t>
    </r>
  </si>
  <si>
    <t>°F</t>
  </si>
  <si>
    <t>a =</t>
  </si>
  <si>
    <t>-----------</t>
  </si>
  <si>
    <t>b =</t>
  </si>
  <si>
    <t>c =</t>
  </si>
  <si>
    <t>d =</t>
  </si>
  <si>
    <t>bxlog(P) =</t>
  </si>
  <si>
    <r>
      <t>cx(log(P))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=</t>
    </r>
  </si>
  <si>
    <t>------------</t>
  </si>
  <si>
    <r>
      <t>dx(log(P))</t>
    </r>
    <r>
      <rPr>
        <vertAlign val="superscript"/>
        <sz val="10"/>
        <rFont val="Arial"/>
        <family val="2"/>
      </rPr>
      <t>3</t>
    </r>
  </si>
  <si>
    <t>-------------</t>
  </si>
  <si>
    <t>1+2+3+4 =</t>
  </si>
  <si>
    <r>
      <t>W</t>
    </r>
    <r>
      <rPr>
        <vertAlign val="subscript"/>
        <sz val="10"/>
        <rFont val="Arial"/>
        <family val="2"/>
      </rPr>
      <t>HC</t>
    </r>
    <r>
      <rPr>
        <sz val="10"/>
        <rFont val="Arial"/>
        <family val="2"/>
      </rPr>
      <t xml:space="preserve"> =</t>
    </r>
  </si>
  <si>
    <r>
      <t>mg/Sm</t>
    </r>
    <r>
      <rPr>
        <vertAlign val="superscript"/>
        <sz val="10"/>
        <rFont val="Arial"/>
        <family val="2"/>
      </rPr>
      <t>3</t>
    </r>
  </si>
  <si>
    <t>lb/MMscf</t>
  </si>
  <si>
    <t>Prepared by:</t>
  </si>
  <si>
    <t>Ankur Srivastava</t>
  </si>
  <si>
    <t>Chemical Engineer (Oil &amp; Gas)</t>
  </si>
  <si>
    <t>email:</t>
  </si>
  <si>
    <t>ankur_2061@hotmail.com</t>
  </si>
  <si>
    <r>
      <t>Disclaimer</t>
    </r>
    <r>
      <rPr>
        <b/>
        <sz val="10"/>
        <rFont val="Arial"/>
        <family val="2"/>
      </rPr>
      <t>: The information and methods included within this spreadsheet are presented for 'Sweet &amp; Sour Natural Gas Water Content' calculations. It is intended to be used by technically skilled persons at their own discretion. I do not warrant the suitability or accuracy of these methods.</t>
    </r>
  </si>
  <si>
    <t>Inlet Btu/cf</t>
  </si>
  <si>
    <t>ft3/mol</t>
  </si>
  <si>
    <t>ft3</t>
  </si>
  <si>
    <t>lbs</t>
  </si>
  <si>
    <t>lbs/MMcf total</t>
  </si>
  <si>
    <t>Inlet H20 lb/MMcf saturated</t>
  </si>
  <si>
    <t>lbs H2O/MMcf</t>
  </si>
  <si>
    <t>Well Meter</t>
  </si>
  <si>
    <t>Inlet to Booster</t>
  </si>
  <si>
    <t>Booster Discharge</t>
  </si>
  <si>
    <t>H2O, lbm/MMcf</t>
  </si>
  <si>
    <t>Inlet Gas Composition (dry basis)</t>
  </si>
  <si>
    <t>BPD (Water Dropout)</t>
  </si>
  <si>
    <t>Typical compressor oil rates are about 1 gallon per day per cylinder.</t>
  </si>
  <si>
    <t>Assuming 4 to 6 cylinders per compressor, 6 gallons per day of lube</t>
  </si>
  <si>
    <t>oil will flow into the Outlet Gas from each compressor.</t>
  </si>
  <si>
    <t xml:space="preserve">   Slop Water</t>
  </si>
  <si>
    <t xml:space="preserve">              Vent</t>
  </si>
  <si>
    <t>Gunbarrel Sep</t>
  </si>
  <si>
    <t>BPD (HC)</t>
  </si>
  <si>
    <t>Total BPD</t>
  </si>
  <si>
    <t>5*</t>
  </si>
  <si>
    <t>* does not include estimate of HC dropout volume in compressors</t>
  </si>
  <si>
    <t>gals/min (chemicals)</t>
  </si>
  <si>
    <t>Average miles from Booster to Plant</t>
  </si>
  <si>
    <t>mi</t>
  </si>
  <si>
    <t xml:space="preserve">        source:  http://www.machinerylubrication.com/Read/552/reciprocating-natural-gas-compressors</t>
  </si>
  <si>
    <t>15*</t>
  </si>
  <si>
    <t>16*</t>
  </si>
  <si>
    <t>x</t>
  </si>
  <si>
    <t>y</t>
  </si>
  <si>
    <t>x2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</si>
  <si>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</si>
  <si>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</si>
  <si>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</si>
  <si>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</si>
  <si>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</si>
  <si>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</si>
  <si>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</si>
  <si>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</si>
  <si>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</si>
  <si>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</si>
  <si>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</si>
  <si>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</si>
  <si>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</si>
  <si>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</si>
  <si>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</si>
  <si>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</si>
  <si>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</si>
  <si>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</si>
  <si>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</si>
  <si>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</si>
  <si>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</si>
  <si>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</si>
  <si>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</si>
  <si>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</si>
  <si>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ycalc</t>
  </si>
  <si>
    <t>CHDP</t>
  </si>
  <si>
    <t>= -385.896* (C6-C9) +486.7691*(C6-C9)^0.5 -62.032</t>
  </si>
  <si>
    <t>Stream 19/Stream 15</t>
  </si>
  <si>
    <t xml:space="preserve">            Regen Rate</t>
  </si>
  <si>
    <t xml:space="preserve">            Regen Heat Load</t>
  </si>
  <si>
    <t xml:space="preserve">           Inlet Hp</t>
  </si>
  <si>
    <t xml:space="preserve"> Hp</t>
  </si>
  <si>
    <t xml:space="preserve">              Regen Hp</t>
  </si>
  <si>
    <t>Multicomponent Equilibrium Flash Calculation</t>
  </si>
  <si>
    <t>http://excelcalculations.blogspot.com/2011/07/equilibrium-flash-excel.html</t>
  </si>
  <si>
    <t xml:space="preserve">   provided by Samir, modified by Wayne Landon</t>
  </si>
  <si>
    <t>Feed Rate, moles/hr</t>
  </si>
  <si>
    <t>Feed Temperature, F</t>
  </si>
  <si>
    <t>Parameters used by Solver</t>
  </si>
  <si>
    <t>Feed Pressure, psia</t>
  </si>
  <si>
    <t>Eq Const (K value)*</t>
  </si>
  <si>
    <t>Moles in Feed</t>
  </si>
  <si>
    <t>Mole fraction in feed</t>
  </si>
  <si>
    <t>Rachford-Rice equation</t>
  </si>
  <si>
    <t>Moles in liquid</t>
  </si>
  <si>
    <t>Moles in vapour</t>
  </si>
  <si>
    <t>Mole fraction in liquid</t>
  </si>
  <si>
    <t>Mole fraction in vapor</t>
  </si>
  <si>
    <t xml:space="preserve">C2 </t>
  </si>
  <si>
    <t>C7+</t>
  </si>
  <si>
    <t>TOTALS</t>
  </si>
  <si>
    <t>Fraction of feed that is vaporized</t>
  </si>
  <si>
    <t>To execute program, go to Data on ribbon, then select Solver and then click on "Solve"</t>
  </si>
  <si>
    <t>* Standing Correlation K - see K values worksheet</t>
  </si>
  <si>
    <t>Rachford - Rice Equation</t>
  </si>
  <si>
    <r>
      <t>where z</t>
    </r>
    <r>
      <rPr>
        <vertAlign val="subscript"/>
        <sz val="10"/>
        <rFont val="Trebuchet MS"/>
        <family val="2"/>
      </rPr>
      <t>i</t>
    </r>
    <r>
      <rPr>
        <sz val="10"/>
        <rFont val="Trebuchet MS"/>
        <family val="2"/>
      </rPr>
      <t> is the mole fraction of component i in the liquid feed, K</t>
    </r>
    <r>
      <rPr>
        <vertAlign val="subscript"/>
        <sz val="10"/>
        <rFont val="Trebuchet MS"/>
        <family val="2"/>
      </rPr>
      <t>i</t>
    </r>
    <r>
      <rPr>
        <sz val="10"/>
        <rFont val="Trebuchet MS"/>
        <family val="2"/>
      </rPr>
      <t xml:space="preserve"> is the equilibrium constant </t>
    </r>
  </si>
  <si>
    <t>(at the appropriate temperature and pressure) and β is the fraction of feed that is vaporised. Obviously, β is between 0 and 1.</t>
  </si>
  <si>
    <t>xi = zi/(1-B+B*Ki)</t>
  </si>
  <si>
    <t>B = fraction of feed vaporized</t>
  </si>
  <si>
    <t>yi=Ki*xi</t>
  </si>
  <si>
    <t>Determining K values for natural gas streams</t>
  </si>
  <si>
    <t>developed by Wayne Landon</t>
  </si>
  <si>
    <t>Standing Correlation</t>
  </si>
  <si>
    <t>Wilson Correlation</t>
  </si>
  <si>
    <r>
      <t>K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1/P*10^(a+c*F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 = equilibrium ratio of component i</t>
    </r>
  </si>
  <si>
    <r>
      <t>K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scheme val="minor"/>
      </rPr>
      <t>/P*exp(5.37*(1+w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)*(1-T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scheme val="minor"/>
      </rPr>
      <t>/T))</t>
    </r>
  </si>
  <si>
    <r>
      <t>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*(1/T</t>
    </r>
    <r>
      <rPr>
        <vertAlign val="subscript"/>
        <sz val="11"/>
        <color theme="1"/>
        <rFont val="Calibri"/>
        <family val="2"/>
        <scheme val="minor"/>
      </rPr>
      <t>bi</t>
    </r>
    <r>
      <rPr>
        <sz val="11"/>
        <color theme="1"/>
        <rFont val="Calibri"/>
        <family val="2"/>
        <scheme val="minor"/>
      </rPr>
      <t>-1/T) = component charaterization factor</t>
    </r>
  </si>
  <si>
    <r>
      <t>w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acentric factor for component I </t>
    </r>
  </si>
  <si>
    <t>T = system temperature, R</t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</si>
  <si>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ci </t>
    </r>
    <r>
      <rPr>
        <sz val="11"/>
        <color theme="1"/>
        <rFont val="Calibri"/>
        <family val="2"/>
        <scheme val="minor"/>
      </rPr>
      <t>= critical temperature for component i</t>
    </r>
  </si>
  <si>
    <t>P = psia</t>
  </si>
  <si>
    <t>P = system pressure, psia</t>
  </si>
  <si>
    <r>
      <t>P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scheme val="minor"/>
      </rPr>
      <t xml:space="preserve"> = critical pressure for component i</t>
    </r>
  </si>
  <si>
    <r>
      <t>T</t>
    </r>
    <r>
      <rPr>
        <vertAlign val="subscript"/>
        <sz val="11"/>
        <color theme="1"/>
        <rFont val="Calibri"/>
        <family val="2"/>
        <scheme val="minor"/>
      </rPr>
      <t>bi</t>
    </r>
    <r>
      <rPr>
        <sz val="11"/>
        <color theme="1"/>
        <rFont val="Calibri"/>
        <family val="2"/>
        <scheme val="minor"/>
      </rPr>
      <t xml:space="preserve"> = normal boiling point of component i, deg R</t>
    </r>
  </si>
  <si>
    <t>bi =( log(Pci/14.7))/(1/Tbi - 1/Tci)</t>
  </si>
  <si>
    <r>
      <t>a = 1.2+0.00045*P+15(10</t>
    </r>
    <r>
      <rPr>
        <vertAlign val="superscript"/>
        <sz val="11"/>
        <color theme="1"/>
        <rFont val="Calibri"/>
        <family val="2"/>
        <scheme val="minor"/>
      </rPr>
      <t>-8</t>
    </r>
    <r>
      <rPr>
        <sz val="11"/>
        <color theme="1"/>
        <rFont val="Calibri"/>
        <family val="2"/>
        <scheme val="minor"/>
      </rPr>
      <t>)*P^2</t>
    </r>
  </si>
  <si>
    <r>
      <t>c= 0.89-0.00017*P-3.5(10</t>
    </r>
    <r>
      <rPr>
        <vertAlign val="superscript"/>
        <sz val="11"/>
        <color theme="1"/>
        <rFont val="Calibri"/>
        <family val="2"/>
        <scheme val="minor"/>
      </rPr>
      <t>-8</t>
    </r>
    <r>
      <rPr>
        <sz val="11"/>
        <color theme="1"/>
        <rFont val="Calibri"/>
        <family val="2"/>
        <scheme val="minor"/>
      </rPr>
      <t>)*P^2</t>
    </r>
  </si>
  <si>
    <t>n = 7.3+0.0075*T+0.0016*P, where T is in deg F, not R</t>
  </si>
  <si>
    <t>b = 1013+324*n-4.256*n^2</t>
  </si>
  <si>
    <r>
      <t>T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=301+59.85*n-0.971*n^2</t>
    </r>
  </si>
  <si>
    <t>``</t>
  </si>
  <si>
    <t>Standing</t>
  </si>
  <si>
    <t>Wilson</t>
  </si>
  <si>
    <t>Component</t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</si>
  <si>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ci</t>
    </r>
  </si>
  <si>
    <r>
      <t>T</t>
    </r>
    <r>
      <rPr>
        <b/>
        <i/>
        <vertAlign val="subscript"/>
        <sz val="11"/>
        <color theme="1"/>
        <rFont val="Calibri"/>
        <family val="2"/>
        <scheme val="minor"/>
      </rPr>
      <t>ci</t>
    </r>
  </si>
  <si>
    <t>w</t>
  </si>
  <si>
    <r>
      <t>b</t>
    </r>
    <r>
      <rPr>
        <b/>
        <i/>
        <vertAlign val="subscript"/>
        <sz val="11"/>
        <color theme="1"/>
        <rFont val="Calibri"/>
        <family val="2"/>
        <scheme val="minor"/>
      </rPr>
      <t>i</t>
    </r>
  </si>
  <si>
    <r>
      <t>T</t>
    </r>
    <r>
      <rPr>
        <b/>
        <i/>
        <vertAlign val="subscript"/>
        <sz val="11"/>
        <color theme="1"/>
        <rFont val="Calibri"/>
        <family val="2"/>
        <scheme val="minor"/>
      </rPr>
      <t>bi</t>
    </r>
  </si>
  <si>
    <r>
      <t>F</t>
    </r>
    <r>
      <rPr>
        <b/>
        <i/>
        <vertAlign val="subscript"/>
        <sz val="11"/>
        <color theme="1"/>
        <rFont val="Calibri"/>
        <family val="2"/>
        <scheme val="minor"/>
      </rPr>
      <t>i</t>
    </r>
  </si>
  <si>
    <r>
      <t>K</t>
    </r>
    <r>
      <rPr>
        <b/>
        <i/>
        <vertAlign val="subscript"/>
        <sz val="11"/>
        <color theme="1"/>
        <rFont val="Calibri"/>
        <family val="2"/>
        <scheme val="minor"/>
      </rPr>
      <t>i</t>
    </r>
  </si>
  <si>
    <t>Reference:  Reservoir Engineering Handbook 4th Ed by Tarek Hamed</t>
  </si>
  <si>
    <t>Composition, dry basis</t>
  </si>
  <si>
    <t>Free H2O, BPD</t>
  </si>
  <si>
    <t>Inlet HC Dew Point, F</t>
  </si>
  <si>
    <t>/metric ton</t>
  </si>
  <si>
    <t>/Mmbtu</t>
  </si>
  <si>
    <t>/kwh</t>
  </si>
  <si>
    <r>
      <t xml:space="preserve"> </t>
    </r>
    <r>
      <rPr>
        <vertAlign val="superscript"/>
        <sz val="9"/>
        <color theme="1"/>
        <rFont val="Calibri"/>
        <family val="2"/>
        <scheme val="minor"/>
      </rPr>
      <t>*1</t>
    </r>
    <r>
      <rPr>
        <sz val="10"/>
        <color theme="1"/>
        <rFont val="Calibri"/>
        <family val="2"/>
        <scheme val="minor"/>
      </rPr>
      <t xml:space="preserve"> Glycol circulation rate ranges from 3 to 5 gallons per lb of water removed - with 3 as</t>
    </r>
  </si>
  <si>
    <r>
      <t xml:space="preserve">     </t>
    </r>
    <r>
      <rPr>
        <sz val="10"/>
        <color theme="1"/>
        <rFont val="Calibri"/>
        <family val="2"/>
        <scheme val="minor"/>
      </rPr>
      <t>accepted rule of thumb</t>
    </r>
  </si>
  <si>
    <r>
      <t xml:space="preserve">     </t>
    </r>
    <r>
      <rPr>
        <sz val="10"/>
        <color theme="1"/>
        <rFont val="Calibri"/>
        <family val="2"/>
        <scheme val="minor"/>
      </rPr>
      <t>to 113 at 900 psig and 120 F.  Assume an average of 75 lbs/MMcf</t>
    </r>
  </si>
  <si>
    <r>
      <rPr>
        <vertAlign val="superscript"/>
        <sz val="9"/>
        <color theme="1"/>
        <rFont val="Calibri"/>
        <family val="2"/>
        <scheme val="minor"/>
      </rPr>
      <t xml:space="preserve"> *2 </t>
    </r>
    <r>
      <rPr>
        <sz val="10"/>
        <color theme="1"/>
        <rFont val="Calibri"/>
        <family val="2"/>
        <scheme val="minor"/>
      </rPr>
      <t xml:space="preserve"> Water content in natural gas ranges from 67 lbs/MMcf at 200 psig and 60F</t>
    </r>
  </si>
  <si>
    <t>Amine losses, % of circulation rate</t>
  </si>
  <si>
    <t>Amine makeup rate, gpm</t>
  </si>
  <si>
    <t>Amine makeup, gals per year</t>
  </si>
  <si>
    <t>Gals per MMcf</t>
  </si>
  <si>
    <t>Glycol makeup rate, gpm</t>
  </si>
  <si>
    <t>Glycol makeup, gals per year</t>
  </si>
  <si>
    <t>gal/yr</t>
  </si>
  <si>
    <t>Water Storage Pump</t>
  </si>
  <si>
    <t>lb H2O/Mcf (out)</t>
  </si>
  <si>
    <t>lb H2O/Mcf (in)</t>
  </si>
  <si>
    <t>Mscfd</t>
  </si>
  <si>
    <t>developed by Wayne Landon, waynelandon13@gmail.com</t>
  </si>
  <si>
    <t>Miles of Transmission from Boosters to Plant</t>
  </si>
  <si>
    <r>
      <t>Rate (% )</t>
    </r>
    <r>
      <rPr>
        <vertAlign val="superscript"/>
        <sz val="10"/>
        <color theme="1"/>
        <rFont val="Calibri"/>
        <family val="2"/>
        <scheme val="minor"/>
      </rPr>
      <t xml:space="preserve"> *3</t>
    </r>
  </si>
  <si>
    <r>
      <rPr>
        <vertAlign val="superscript"/>
        <sz val="9"/>
        <color theme="1"/>
        <rFont val="Calibri"/>
        <family val="2"/>
        <scheme val="minor"/>
      </rPr>
      <t xml:space="preserve"> *3 </t>
    </r>
    <r>
      <rPr>
        <sz val="10"/>
        <color theme="1"/>
        <rFont val="Calibri"/>
        <family val="2"/>
        <scheme val="minor"/>
      </rPr>
      <t xml:space="preserve"> Rate of flow as % of condensate flow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</si>
</sst>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0.000"/>
    <numFmt numFmtId="167" formatCode="0.0"/>
    <numFmt numFmtId="168" formatCode="0.0000"/>
    <numFmt numFmtId="169" formatCode="0.0%"/>
    <numFmt numFmtId="170" formatCode="0.00000%"/>
    <numFmt numFmtId="171" formatCode="0.0000%"/>
    <numFmt numFmtId="172" formatCode="0.000000000"/>
    <numFmt numFmtId="173" formatCode="0.0000000000"/>
    <numFmt numFmtId="174" formatCode="0.00000000000"/>
    <numFmt numFmtId="175" formatCode="0.000E+00"/>
    <numFmt numFmtId="176" formatCode="#,##0.0"/>
    <numFmt numFmtId="177" formatCode="0.000%"/>
    <numFmt numFmtId="178" formatCode="0.0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Trebuchet MS"/>
      <family val="2"/>
    </font>
    <font>
      <vertAlign val="subscript"/>
      <sz val="10"/>
      <name val="Trebuchet MS"/>
      <family val="2"/>
    </font>
    <font>
      <b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</cellStyleXfs>
  <cellXfs count="307">
    <xf numFmtId="0" fontId="0" fillId="0" borderId="0" xfId="0"/>
    <xf numFmtId="0" fontId="0" fillId="2" borderId="0" xfId="0" applyFill="1"/>
    <xf numFmtId="0" fontId="0" fillId="2" borderId="0" xfId="0" quotePrefix="1" applyFill="1"/>
    <xf numFmtId="2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left"/>
    </xf>
    <xf numFmtId="0" fontId="0" fillId="3" borderId="2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 applyAlignment="1">
      <alignment horizontal="center" wrapText="1"/>
    </xf>
    <xf numFmtId="164" fontId="0" fillId="3" borderId="14" xfId="0" applyNumberFormat="1" applyFill="1" applyBorder="1" applyAlignment="1">
      <alignment horizontal="center"/>
    </xf>
    <xf numFmtId="0" fontId="2" fillId="3" borderId="12" xfId="0" applyFont="1" applyFill="1" applyBorder="1"/>
    <xf numFmtId="1" fontId="0" fillId="3" borderId="15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5" xfId="0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3" borderId="0" xfId="0" applyNumberFormat="1" applyFill="1"/>
    <xf numFmtId="0" fontId="1" fillId="3" borderId="9" xfId="0" applyFont="1" applyFill="1" applyBorder="1"/>
    <xf numFmtId="0" fontId="1" fillId="3" borderId="10" xfId="0" applyFont="1" applyFill="1" applyBorder="1"/>
    <xf numFmtId="1" fontId="1" fillId="3" borderId="6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1" fontId="1" fillId="3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9" fontId="0" fillId="3" borderId="5" xfId="0" applyNumberForma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38" fontId="0" fillId="3" borderId="0" xfId="0" applyNumberFormat="1" applyFill="1"/>
    <xf numFmtId="0" fontId="0" fillId="3" borderId="11" xfId="0" applyFill="1" applyBorder="1"/>
    <xf numFmtId="0" fontId="0" fillId="3" borderId="3" xfId="0" applyFill="1" applyBorder="1"/>
    <xf numFmtId="0" fontId="0" fillId="3" borderId="0" xfId="0" quotePrefix="1" applyFill="1"/>
    <xf numFmtId="164" fontId="3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15" xfId="0" applyFill="1" applyBorder="1"/>
    <xf numFmtId="164" fontId="3" fillId="3" borderId="5" xfId="0" applyNumberFormat="1" applyFont="1" applyFill="1" applyBorder="1" applyAlignment="1">
      <alignment horizontal="center"/>
    </xf>
    <xf numFmtId="1" fontId="0" fillId="3" borderId="0" xfId="0" applyNumberFormat="1" applyFill="1"/>
    <xf numFmtId="0" fontId="4" fillId="3" borderId="0" xfId="0" applyFont="1" applyFill="1"/>
    <xf numFmtId="166" fontId="0" fillId="3" borderId="0" xfId="0" applyNumberForma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3" borderId="5" xfId="0" applyFill="1" applyBorder="1"/>
    <xf numFmtId="165" fontId="3" fillId="3" borderId="5" xfId="0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0" fillId="3" borderId="14" xfId="0" applyFill="1" applyBorder="1"/>
    <xf numFmtId="0" fontId="0" fillId="8" borderId="0" xfId="0" applyFill="1" applyAlignment="1">
      <alignment horizontal="center"/>
    </xf>
    <xf numFmtId="10" fontId="0" fillId="8" borderId="0" xfId="0" applyNumberFormat="1" applyFill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7" fontId="0" fillId="3" borderId="0" xfId="0" applyNumberFormat="1" applyFill="1"/>
    <xf numFmtId="167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67" fontId="1" fillId="3" borderId="0" xfId="0" applyNumberFormat="1" applyFont="1" applyFill="1"/>
    <xf numFmtId="1" fontId="1" fillId="3" borderId="0" xfId="0" applyNumberFormat="1" applyFont="1" applyFill="1"/>
    <xf numFmtId="0" fontId="1" fillId="3" borderId="0" xfId="0" applyFont="1" applyFill="1" applyAlignment="1">
      <alignment horizontal="right"/>
    </xf>
    <xf numFmtId="10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right"/>
    </xf>
    <xf numFmtId="0" fontId="1" fillId="2" borderId="12" xfId="0" applyFont="1" applyFill="1" applyBorder="1"/>
    <xf numFmtId="0" fontId="1" fillId="2" borderId="13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2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9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71" fontId="0" fillId="2" borderId="1" xfId="0" applyNumberForma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8" borderId="7" xfId="0" applyFill="1" applyBorder="1"/>
    <xf numFmtId="2" fontId="0" fillId="2" borderId="1" xfId="0" applyNumberFormat="1" applyFill="1" applyBorder="1" applyAlignment="1">
      <alignment horizontal="center"/>
    </xf>
    <xf numFmtId="1" fontId="0" fillId="2" borderId="0" xfId="0" applyNumberFormat="1" applyFill="1"/>
    <xf numFmtId="0" fontId="0" fillId="8" borderId="0" xfId="0" applyFill="1"/>
    <xf numFmtId="10" fontId="0" fillId="8" borderId="1" xfId="0" applyNumberFormat="1" applyFill="1" applyBorder="1" applyAlignment="1">
      <alignment horizontal="center"/>
    </xf>
    <xf numFmtId="0" fontId="0" fillId="9" borderId="12" xfId="0" applyFill="1" applyBorder="1"/>
    <xf numFmtId="0" fontId="0" fillId="9" borderId="15" xfId="0" applyFill="1" applyBorder="1"/>
    <xf numFmtId="0" fontId="0" fillId="9" borderId="13" xfId="0" applyFill="1" applyBorder="1"/>
    <xf numFmtId="0" fontId="0" fillId="9" borderId="7" xfId="0" applyFill="1" applyBorder="1"/>
    <xf numFmtId="2" fontId="0" fillId="9" borderId="0" xfId="0" applyNumberFormat="1" applyFill="1"/>
    <xf numFmtId="0" fontId="0" fillId="9" borderId="8" xfId="0" applyFill="1" applyBorder="1"/>
    <xf numFmtId="0" fontId="0" fillId="9" borderId="9" xfId="0" applyFill="1" applyBorder="1"/>
    <xf numFmtId="1" fontId="0" fillId="9" borderId="11" xfId="0" applyNumberFormat="1" applyFill="1" applyBorder="1"/>
    <xf numFmtId="0" fontId="0" fillId="9" borderId="10" xfId="0" applyFill="1" applyBorder="1"/>
    <xf numFmtId="1" fontId="3" fillId="8" borderId="5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7" fillId="3" borderId="12" xfId="0" applyFont="1" applyFill="1" applyBorder="1"/>
    <xf numFmtId="0" fontId="2" fillId="3" borderId="7" xfId="0" applyFont="1" applyFill="1" applyBorder="1"/>
    <xf numFmtId="0" fontId="0" fillId="3" borderId="0" xfId="0" applyFill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1" fontId="0" fillId="3" borderId="5" xfId="0" applyNumberFormat="1" applyFill="1" applyBorder="1" applyAlignment="1">
      <alignment horizontal="center" wrapText="1"/>
    </xf>
    <xf numFmtId="1" fontId="0" fillId="3" borderId="7" xfId="0" applyNumberFormat="1" applyFill="1" applyBorder="1"/>
    <xf numFmtId="3" fontId="3" fillId="3" borderId="5" xfId="0" applyNumberFormat="1" applyFont="1" applyFill="1" applyBorder="1" applyAlignment="1">
      <alignment horizontal="center"/>
    </xf>
    <xf numFmtId="3" fontId="3" fillId="8" borderId="5" xfId="0" applyNumberFormat="1" applyFont="1" applyFill="1" applyBorder="1" applyAlignment="1">
      <alignment horizontal="center"/>
    </xf>
    <xf numFmtId="0" fontId="8" fillId="3" borderId="7" xfId="0" applyFont="1" applyFill="1" applyBorder="1"/>
    <xf numFmtId="164" fontId="9" fillId="3" borderId="5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4" fontId="0" fillId="3" borderId="8" xfId="0" applyNumberFormat="1" applyFill="1" applyBorder="1"/>
    <xf numFmtId="0" fontId="0" fillId="3" borderId="6" xfId="0" applyFill="1" applyBorder="1"/>
    <xf numFmtId="165" fontId="0" fillId="3" borderId="10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3" fontId="0" fillId="3" borderId="0" xfId="0" applyNumberFormat="1" applyFill="1"/>
    <xf numFmtId="10" fontId="0" fillId="3" borderId="11" xfId="0" applyNumberFormat="1" applyFill="1" applyBorder="1"/>
    <xf numFmtId="1" fontId="0" fillId="2" borderId="1" xfId="0" applyNumberFormat="1" applyFill="1" applyBorder="1" applyAlignment="1">
      <alignment horizontal="center"/>
    </xf>
    <xf numFmtId="0" fontId="0" fillId="8" borderId="1" xfId="0" applyFill="1" applyBorder="1"/>
    <xf numFmtId="0" fontId="11" fillId="10" borderId="1" xfId="0" applyFont="1" applyFill="1" applyBorder="1"/>
    <xf numFmtId="0" fontId="11" fillId="10" borderId="2" xfId="0" applyFont="1" applyFill="1" applyBorder="1" applyAlignment="1">
      <alignment horizontal="center"/>
    </xf>
    <xf numFmtId="10" fontId="11" fillId="10" borderId="14" xfId="0" applyNumberFormat="1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2" fillId="3" borderId="1" xfId="0" applyFont="1" applyFill="1" applyBorder="1"/>
    <xf numFmtId="3" fontId="12" fillId="3" borderId="2" xfId="0" applyNumberFormat="1" applyFont="1" applyFill="1" applyBorder="1"/>
    <xf numFmtId="10" fontId="12" fillId="3" borderId="5" xfId="0" applyNumberFormat="1" applyFont="1" applyFill="1" applyBorder="1" applyAlignment="1">
      <alignment horizontal="center"/>
    </xf>
    <xf numFmtId="2" fontId="12" fillId="3" borderId="4" xfId="0" applyNumberFormat="1" applyFont="1" applyFill="1" applyBorder="1" applyAlignment="1">
      <alignment horizontal="center"/>
    </xf>
    <xf numFmtId="171" fontId="12" fillId="3" borderId="5" xfId="0" applyNumberFormat="1" applyFont="1" applyFill="1" applyBorder="1" applyAlignment="1">
      <alignment horizontal="center"/>
    </xf>
    <xf numFmtId="0" fontId="10" fillId="3" borderId="1" xfId="0" applyFont="1" applyFill="1" applyBorder="1"/>
    <xf numFmtId="3" fontId="10" fillId="3" borderId="2" xfId="0" applyNumberFormat="1" applyFont="1" applyFill="1" applyBorder="1"/>
    <xf numFmtId="10" fontId="12" fillId="3" borderId="6" xfId="0" applyNumberFormat="1" applyFont="1" applyFill="1" applyBorder="1" applyAlignment="1">
      <alignment horizontal="center"/>
    </xf>
    <xf numFmtId="0" fontId="13" fillId="3" borderId="0" xfId="0" applyFont="1" applyFill="1"/>
    <xf numFmtId="0" fontId="0" fillId="3" borderId="7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2" borderId="0" xfId="0" applyNumberFormat="1" applyFill="1"/>
    <xf numFmtId="0" fontId="14" fillId="12" borderId="0" xfId="0" applyFont="1" applyFill="1"/>
    <xf numFmtId="0" fontId="0" fillId="12" borderId="0" xfId="0" applyFill="1"/>
    <xf numFmtId="0" fontId="15" fillId="12" borderId="0" xfId="0" applyFont="1" applyFill="1"/>
    <xf numFmtId="0" fontId="16" fillId="0" borderId="0" xfId="1" applyAlignment="1" applyProtection="1">
      <protection locked="0"/>
    </xf>
    <xf numFmtId="0" fontId="0" fillId="12" borderId="0" xfId="0" applyFill="1" applyProtection="1">
      <protection locked="0"/>
    </xf>
    <xf numFmtId="0" fontId="20" fillId="12" borderId="0" xfId="0" applyFont="1" applyFill="1"/>
    <xf numFmtId="0" fontId="0" fillId="12" borderId="1" xfId="0" applyFill="1" applyBorder="1"/>
    <xf numFmtId="0" fontId="0" fillId="13" borderId="1" xfId="0" applyFill="1" applyBorder="1"/>
    <xf numFmtId="172" fontId="0" fillId="13" borderId="1" xfId="0" applyNumberFormat="1" applyFill="1" applyBorder="1"/>
    <xf numFmtId="173" fontId="0" fillId="13" borderId="1" xfId="0" applyNumberFormat="1" applyFill="1" applyBorder="1"/>
    <xf numFmtId="174" fontId="0" fillId="13" borderId="1" xfId="0" applyNumberFormat="1" applyFill="1" applyBorder="1"/>
    <xf numFmtId="11" fontId="0" fillId="13" borderId="1" xfId="0" applyNumberFormat="1" applyFill="1" applyBorder="1"/>
    <xf numFmtId="0" fontId="18" fillId="12" borderId="0" xfId="0" applyFont="1" applyFill="1"/>
    <xf numFmtId="3" fontId="0" fillId="13" borderId="1" xfId="0" applyNumberFormat="1" applyFill="1" applyBorder="1" applyProtection="1">
      <protection locked="0"/>
    </xf>
    <xf numFmtId="0" fontId="0" fillId="0" borderId="1" xfId="0" applyBorder="1"/>
    <xf numFmtId="0" fontId="0" fillId="13" borderId="1" xfId="0" applyFill="1" applyBorder="1" applyProtection="1">
      <protection locked="0"/>
    </xf>
    <xf numFmtId="0" fontId="20" fillId="12" borderId="1" xfId="0" applyFont="1" applyFill="1" applyBorder="1"/>
    <xf numFmtId="1" fontId="0" fillId="13" borderId="1" xfId="0" applyNumberFormat="1" applyFill="1" applyBorder="1" applyProtection="1">
      <protection locked="0"/>
    </xf>
    <xf numFmtId="175" fontId="0" fillId="14" borderId="1" xfId="0" applyNumberFormat="1" applyFill="1" applyBorder="1"/>
    <xf numFmtId="0" fontId="0" fillId="12" borderId="0" xfId="0" quotePrefix="1" applyFill="1"/>
    <xf numFmtId="0" fontId="18" fillId="12" borderId="0" xfId="0" applyFont="1" applyFill="1" applyAlignment="1">
      <alignment horizontal="left"/>
    </xf>
    <xf numFmtId="0" fontId="0" fillId="14" borderId="1" xfId="0" applyFill="1" applyBorder="1"/>
    <xf numFmtId="176" fontId="0" fillId="14" borderId="1" xfId="0" applyNumberFormat="1" applyFill="1" applyBorder="1"/>
    <xf numFmtId="167" fontId="0" fillId="14" borderId="1" xfId="0" applyNumberFormat="1" applyFill="1" applyBorder="1"/>
    <xf numFmtId="166" fontId="0" fillId="14" borderId="1" xfId="0" applyNumberFormat="1" applyFill="1" applyBorder="1"/>
    <xf numFmtId="0" fontId="16" fillId="12" borderId="0" xfId="1" applyFill="1" applyAlignment="1" applyProtection="1"/>
    <xf numFmtId="0" fontId="0" fillId="12" borderId="0" xfId="0" applyFill="1" applyAlignment="1">
      <alignment vertical="top"/>
    </xf>
    <xf numFmtId="0" fontId="0" fillId="0" borderId="0" xfId="0" applyAlignment="1">
      <alignment vertical="top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9" borderId="12" xfId="0" applyFill="1" applyBorder="1" applyAlignment="1">
      <alignment horizontal="left" indent="1"/>
    </xf>
    <xf numFmtId="0" fontId="0" fillId="9" borderId="7" xfId="0" applyFill="1" applyBorder="1" applyAlignment="1">
      <alignment horizontal="left" indent="1"/>
    </xf>
    <xf numFmtId="0" fontId="0" fillId="9" borderId="0" xfId="0" applyFill="1"/>
    <xf numFmtId="0" fontId="0" fillId="9" borderId="9" xfId="0" applyFill="1" applyBorder="1" applyAlignment="1">
      <alignment horizontal="left" indent="1"/>
    </xf>
    <xf numFmtId="0" fontId="0" fillId="9" borderId="11" xfId="0" applyFill="1" applyBorder="1"/>
    <xf numFmtId="0" fontId="0" fillId="3" borderId="1" xfId="0" applyFill="1" applyBorder="1"/>
    <xf numFmtId="1" fontId="0" fillId="3" borderId="1" xfId="0" applyNumberFormat="1" applyFill="1" applyBorder="1" applyAlignment="1">
      <alignment horizontal="center" vertical="center"/>
    </xf>
    <xf numFmtId="169" fontId="0" fillId="3" borderId="1" xfId="0" applyNumberFormat="1" applyFill="1" applyBorder="1" applyAlignment="1">
      <alignment horizontal="center"/>
    </xf>
    <xf numFmtId="170" fontId="0" fillId="3" borderId="1" xfId="0" applyNumberFormat="1" applyFill="1" applyBorder="1" applyAlignment="1">
      <alignment horizontal="center"/>
    </xf>
    <xf numFmtId="171" fontId="0" fillId="3" borderId="1" xfId="0" applyNumberFormat="1" applyFill="1" applyBorder="1" applyAlignment="1">
      <alignment horizontal="center"/>
    </xf>
    <xf numFmtId="3" fontId="1" fillId="3" borderId="12" xfId="0" applyNumberFormat="1" applyFont="1" applyFill="1" applyBorder="1"/>
    <xf numFmtId="0" fontId="1" fillId="3" borderId="15" xfId="0" applyFont="1" applyFill="1" applyBorder="1"/>
    <xf numFmtId="2" fontId="0" fillId="3" borderId="7" xfId="0" applyNumberFormat="1" applyFill="1" applyBorder="1"/>
    <xf numFmtId="3" fontId="0" fillId="3" borderId="7" xfId="0" applyNumberFormat="1" applyFill="1" applyBorder="1"/>
    <xf numFmtId="3" fontId="0" fillId="3" borderId="12" xfId="0" applyNumberFormat="1" applyFill="1" applyBorder="1"/>
    <xf numFmtId="0" fontId="1" fillId="3" borderId="11" xfId="0" applyFont="1" applyFill="1" applyBorder="1"/>
    <xf numFmtId="3" fontId="1" fillId="3" borderId="9" xfId="0" applyNumberFormat="1" applyFont="1" applyFill="1" applyBorder="1"/>
    <xf numFmtId="1" fontId="1" fillId="3" borderId="9" xfId="0" applyNumberFormat="1" applyFont="1" applyFill="1" applyBorder="1"/>
    <xf numFmtId="0" fontId="5" fillId="3" borderId="0" xfId="0" applyFont="1" applyFill="1"/>
    <xf numFmtId="0" fontId="1" fillId="15" borderId="1" xfId="0" applyFont="1" applyFill="1" applyBorder="1" applyAlignment="1">
      <alignment horizontal="center"/>
    </xf>
    <xf numFmtId="0" fontId="0" fillId="0" borderId="16" xfId="0" applyBorder="1"/>
    <xf numFmtId="0" fontId="22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centerContinuous"/>
    </xf>
    <xf numFmtId="0" fontId="0" fillId="0" borderId="0" xfId="0" quotePrefix="1"/>
    <xf numFmtId="0" fontId="0" fillId="16" borderId="0" xfId="0" applyFill="1"/>
    <xf numFmtId="0" fontId="0" fillId="16" borderId="0" xfId="0" applyFill="1" applyAlignment="1">
      <alignment horizontal="center"/>
    </xf>
    <xf numFmtId="1" fontId="0" fillId="16" borderId="0" xfId="0" applyNumberFormat="1" applyFill="1"/>
    <xf numFmtId="9" fontId="0" fillId="16" borderId="0" xfId="0" applyNumberFormat="1" applyFill="1"/>
    <xf numFmtId="177" fontId="0" fillId="3" borderId="1" xfId="0" applyNumberFormat="1" applyFill="1" applyBorder="1" applyAlignment="1">
      <alignment horizontal="center"/>
    </xf>
    <xf numFmtId="2" fontId="0" fillId="8" borderId="1" xfId="0" applyNumberFormat="1" applyFill="1" applyBorder="1"/>
    <xf numFmtId="0" fontId="24" fillId="0" borderId="0" xfId="0" applyFont="1"/>
    <xf numFmtId="0" fontId="23" fillId="0" borderId="0" xfId="2"/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17" borderId="1" xfId="0" applyFill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78" fontId="0" fillId="7" borderId="0" xfId="0" applyNumberFormat="1" applyFill="1" applyAlignment="1">
      <alignment horizontal="center"/>
    </xf>
    <xf numFmtId="178" fontId="0" fillId="3" borderId="0" xfId="0" applyNumberFormat="1" applyFill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78" fontId="0" fillId="3" borderId="19" xfId="0" applyNumberFormat="1" applyFill="1" applyBorder="1" applyAlignment="1">
      <alignment horizontal="center"/>
    </xf>
    <xf numFmtId="0" fontId="0" fillId="17" borderId="19" xfId="0" applyFill="1" applyBorder="1" applyAlignment="1">
      <alignment horizontal="center"/>
    </xf>
    <xf numFmtId="178" fontId="0" fillId="3" borderId="20" xfId="0" applyNumberFormat="1" applyFill="1" applyBorder="1" applyAlignment="1">
      <alignment horizontal="center"/>
    </xf>
    <xf numFmtId="178" fontId="0" fillId="3" borderId="0" xfId="0" applyNumberFormat="1" applyFill="1"/>
    <xf numFmtId="0" fontId="0" fillId="17" borderId="0" xfId="0" applyFill="1" applyAlignment="1">
      <alignment horizontal="center" wrapText="1"/>
    </xf>
    <xf numFmtId="0" fontId="1" fillId="17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/>
    <xf numFmtId="0" fontId="1" fillId="8" borderId="0" xfId="0" applyFont="1" applyFill="1"/>
    <xf numFmtId="0" fontId="1" fillId="9" borderId="0" xfId="0" applyFont="1" applyFill="1"/>
    <xf numFmtId="0" fontId="0" fillId="8" borderId="0" xfId="0" applyFill="1" applyAlignment="1">
      <alignment horizontal="left" indent="2"/>
    </xf>
    <xf numFmtId="0" fontId="0" fillId="9" borderId="0" xfId="0" applyFill="1" applyAlignment="1">
      <alignment horizontal="left" indent="2"/>
    </xf>
    <xf numFmtId="0" fontId="2" fillId="18" borderId="0" xfId="0" applyFont="1" applyFill="1"/>
    <xf numFmtId="0" fontId="2" fillId="18" borderId="0" xfId="0" applyFont="1" applyFill="1" applyAlignment="1">
      <alignment horizontal="center"/>
    </xf>
    <xf numFmtId="0" fontId="2" fillId="18" borderId="0" xfId="0" applyFont="1" applyFill="1" applyAlignment="1">
      <alignment horizontal="center" vertical="center"/>
    </xf>
    <xf numFmtId="0" fontId="0" fillId="18" borderId="0" xfId="0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8" fontId="0" fillId="7" borderId="0" xfId="0" applyNumberFormat="1" applyFill="1"/>
    <xf numFmtId="10" fontId="0" fillId="7" borderId="0" xfId="0" applyNumberFormat="1" applyFill="1"/>
    <xf numFmtId="0" fontId="0" fillId="7" borderId="0" xfId="0" applyFill="1"/>
    <xf numFmtId="164" fontId="0" fillId="7" borderId="0" xfId="0" applyNumberFormat="1" applyFill="1"/>
    <xf numFmtId="0" fontId="0" fillId="7" borderId="7" xfId="0" applyFill="1" applyBorder="1"/>
    <xf numFmtId="165" fontId="0" fillId="7" borderId="0" xfId="0" applyNumberFormat="1" applyFill="1"/>
    <xf numFmtId="0" fontId="0" fillId="7" borderId="5" xfId="0" applyFill="1" applyBorder="1" applyAlignment="1">
      <alignment horizontal="center"/>
    </xf>
    <xf numFmtId="9" fontId="0" fillId="7" borderId="5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0" fontId="0" fillId="3" borderId="12" xfId="0" applyNumberFormat="1" applyFill="1" applyBorder="1"/>
    <xf numFmtId="2" fontId="0" fillId="3" borderId="12" xfId="0" applyNumberFormat="1" applyFill="1" applyBorder="1"/>
    <xf numFmtId="0" fontId="0" fillId="7" borderId="1" xfId="0" applyFill="1" applyBorder="1"/>
    <xf numFmtId="10" fontId="0" fillId="7" borderId="0" xfId="0" applyNumberFormat="1" applyFill="1" applyAlignment="1">
      <alignment horizontal="center"/>
    </xf>
    <xf numFmtId="169" fontId="0" fillId="7" borderId="0" xfId="0" applyNumberFormat="1" applyFill="1" applyAlignment="1">
      <alignment horizontal="center"/>
    </xf>
    <xf numFmtId="6" fontId="0" fillId="7" borderId="0" xfId="0" applyNumberFormat="1" applyFill="1"/>
    <xf numFmtId="3" fontId="3" fillId="7" borderId="5" xfId="0" applyNumberFormat="1" applyFon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165" fontId="0" fillId="7" borderId="7" xfId="0" applyNumberFormat="1" applyFill="1" applyBorder="1"/>
    <xf numFmtId="1" fontId="0" fillId="7" borderId="6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66" fontId="0" fillId="3" borderId="13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66" fontId="0" fillId="6" borderId="12" xfId="0" applyNumberFormat="1" applyFill="1" applyBorder="1" applyAlignment="1">
      <alignment horizontal="center"/>
    </xf>
    <xf numFmtId="166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left" wrapText="1" inden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Hyperlink" xfId="2" builtinId="8"/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76317714384062"/>
          <c:y val="2.8252405949256341E-2"/>
          <c:w val="0.772127533238673"/>
          <c:h val="0.68921660834062404"/>
        </c:manualLayout>
      </c:layout>
      <c:scatterChart>
        <c:scatterStyle val="lineMarker"/>
        <c:varyColors val="0"/>
        <c:ser>
          <c:idx val="0"/>
          <c:order val="0"/>
          <c:tx>
            <c:v>Pressure</c:v>
          </c:tx>
          <c:spPr>
            <a:ln w="28575">
              <a:noFill/>
            </a:ln>
          </c:spPr>
          <c:xVal>
            <c:numLit>
              <c:formatCode>General</c:formatCode>
              <c:ptCount val="19"/>
              <c:pt idx="0">
                <c:v>10</c:v>
              </c:pt>
              <c:pt idx="1">
                <c:v>12</c:v>
              </c:pt>
              <c:pt idx="2">
                <c:v>15</c:v>
              </c:pt>
              <c:pt idx="3">
                <c:v>18</c:v>
              </c:pt>
              <c:pt idx="4">
                <c:v>20</c:v>
              </c:pt>
              <c:pt idx="5">
                <c:v>22</c:v>
              </c:pt>
              <c:pt idx="6">
                <c:v>26</c:v>
              </c:pt>
              <c:pt idx="7">
                <c:v>27.5</c:v>
              </c:pt>
              <c:pt idx="8">
                <c:v>28.2</c:v>
              </c:pt>
              <c:pt idx="9">
                <c:v>28.5</c:v>
              </c:pt>
              <c:pt idx="10">
                <c:v>27.5</c:v>
              </c:pt>
              <c:pt idx="11">
                <c:v>26.5</c:v>
              </c:pt>
              <c:pt idx="12">
                <c:v>24.5</c:v>
              </c:pt>
              <c:pt idx="13">
                <c:v>22.5</c:v>
              </c:pt>
              <c:pt idx="14">
                <c:v>21</c:v>
              </c:pt>
              <c:pt idx="15">
                <c:v>18.5</c:v>
              </c:pt>
              <c:pt idx="16">
                <c:v>16.5</c:v>
              </c:pt>
              <c:pt idx="17">
                <c:v>13</c:v>
              </c:pt>
              <c:pt idx="18">
                <c:v>10</c:v>
              </c:pt>
            </c:numLit>
          </c:xVal>
          <c:yVal>
            <c:numLit>
              <c:formatCode>General</c:formatCode>
              <c:ptCount val="19"/>
              <c:pt idx="0">
                <c:v>100</c:v>
              </c:pt>
              <c:pt idx="1">
                <c:v>110</c:v>
              </c:pt>
              <c:pt idx="2">
                <c:v>140</c:v>
              </c:pt>
              <c:pt idx="3">
                <c:v>180</c:v>
              </c:pt>
              <c:pt idx="4">
                <c:v>200</c:v>
              </c:pt>
              <c:pt idx="5">
                <c:v>225</c:v>
              </c:pt>
              <c:pt idx="6">
                <c:v>280</c:v>
              </c:pt>
              <c:pt idx="7">
                <c:v>330</c:v>
              </c:pt>
              <c:pt idx="8">
                <c:v>390</c:v>
              </c:pt>
              <c:pt idx="9">
                <c:v>440</c:v>
              </c:pt>
              <c:pt idx="10">
                <c:v>500</c:v>
              </c:pt>
              <c:pt idx="11">
                <c:v>550</c:v>
              </c:pt>
              <c:pt idx="12">
                <c:v>610</c:v>
              </c:pt>
              <c:pt idx="13">
                <c:v>670</c:v>
              </c:pt>
              <c:pt idx="14">
                <c:v>720</c:v>
              </c:pt>
              <c:pt idx="15">
                <c:v>780</c:v>
              </c:pt>
              <c:pt idx="16">
                <c:v>830</c:v>
              </c:pt>
              <c:pt idx="17">
                <c:v>890</c:v>
              </c:pt>
              <c:pt idx="18">
                <c:v>930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041-4677-89D7-0E03C7A2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507264"/>
        <c:axId val="252508800"/>
      </c:scatterChart>
      <c:valAx>
        <c:axId val="252507264"/>
        <c:scaling>
          <c:orientation val="minMax"/>
          <c:max val="60"/>
        </c:scaling>
        <c:delete val="0"/>
        <c:axPos val="b"/>
        <c:numFmt formatCode="General" sourceLinked="1"/>
        <c:majorTickMark val="out"/>
        <c:minorTickMark val="none"/>
        <c:tickLblPos val="nextTo"/>
        <c:crossAx val="252508800"/>
        <c:crosses val="autoZero"/>
        <c:crossBetween val="midCat"/>
      </c:valAx>
      <c:valAx>
        <c:axId val="252508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507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5739282589688E-2"/>
          <c:y val="0.12693942210914094"/>
          <c:w val="0.86227537182852143"/>
          <c:h val="0.72753241249576939"/>
        </c:manualLayout>
      </c:layout>
      <c:scatterChart>
        <c:scatterStyle val="lineMarker"/>
        <c:varyColors val="0"/>
        <c:ser>
          <c:idx val="0"/>
          <c:order val="0"/>
          <c:tx>
            <c:v>C6 - C9</c:v>
          </c:tx>
          <c:spPr>
            <a:ln w="28575">
              <a:noFill/>
            </a:ln>
          </c:spPr>
          <c:xVal>
            <c:numLit>
              <c:formatCode>General</c:formatCode>
              <c:ptCount val="14"/>
              <c:pt idx="0">
                <c:v>-50</c:v>
              </c:pt>
              <c:pt idx="1">
                <c:v>-40</c:v>
              </c:pt>
              <c:pt idx="2">
                <c:v>-40</c:v>
              </c:pt>
              <c:pt idx="3">
                <c:v>-30</c:v>
              </c:pt>
              <c:pt idx="4">
                <c:v>-20</c:v>
              </c:pt>
              <c:pt idx="5">
                <c:v>-10</c:v>
              </c:pt>
              <c:pt idx="6">
                <c:v>0</c:v>
              </c:pt>
              <c:pt idx="7">
                <c:v>10</c:v>
              </c:pt>
              <c:pt idx="8">
                <c:v>20</c:v>
              </c:pt>
              <c:pt idx="9">
                <c:v>30</c:v>
              </c:pt>
              <c:pt idx="10">
                <c:v>40</c:v>
              </c:pt>
              <c:pt idx="11">
                <c:v>50</c:v>
              </c:pt>
              <c:pt idx="12">
                <c:v>60</c:v>
              </c:pt>
              <c:pt idx="13">
                <c:v>70</c:v>
              </c:pt>
            </c:numLit>
          </c:xVal>
          <c:yVal>
            <c:numLit>
              <c:formatCode>General</c:formatCode>
              <c:ptCount val="14"/>
              <c:pt idx="0">
                <c:v>1E-4</c:v>
              </c:pt>
              <c:pt idx="1">
                <c:v>3.0000000000000001E-3</c:v>
              </c:pt>
              <c:pt idx="2">
                <c:v>3.0000000000000001E-3</c:v>
              </c:pt>
              <c:pt idx="3">
                <c:v>5.0000000000000001E-3</c:v>
              </c:pt>
              <c:pt idx="4">
                <c:v>0.01</c:v>
              </c:pt>
              <c:pt idx="5">
                <c:v>1.6E-2</c:v>
              </c:pt>
              <c:pt idx="6">
                <c:v>0.02</c:v>
              </c:pt>
              <c:pt idx="7">
                <c:v>0.03</c:v>
              </c:pt>
              <c:pt idx="8">
                <c:v>3.6999999999999998E-2</c:v>
              </c:pt>
              <c:pt idx="9">
                <c:v>0.05</c:v>
              </c:pt>
              <c:pt idx="10">
                <c:v>6.5000000000000002E-2</c:v>
              </c:pt>
              <c:pt idx="11">
                <c:v>0.09</c:v>
              </c:pt>
              <c:pt idx="12">
                <c:v>0.125</c:v>
              </c:pt>
              <c:pt idx="13">
                <c:v>0.16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618-4A3A-A874-D689BE2C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24576"/>
        <c:axId val="340426112"/>
      </c:scatterChart>
      <c:valAx>
        <c:axId val="340424576"/>
        <c:scaling>
          <c:orientation val="minMax"/>
          <c:max val="70"/>
          <c:min val="-70"/>
        </c:scaling>
        <c:delete val="0"/>
        <c:axPos val="b"/>
        <c:numFmt formatCode="General" sourceLinked="1"/>
        <c:majorTickMark val="out"/>
        <c:minorTickMark val="none"/>
        <c:tickLblPos val="nextTo"/>
        <c:crossAx val="340426112"/>
        <c:crosses val="autoZero"/>
        <c:crossBetween val="midCat"/>
      </c:valAx>
      <c:valAx>
        <c:axId val="340426112"/>
        <c:scaling>
          <c:orientation val="minMax"/>
          <c:max val="0.1800000000000000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0424576"/>
        <c:crossesAt val="-7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0234475676295"/>
          <c:y val="2.2669769647859866E-2"/>
          <c:w val="0.75332620459479605"/>
          <c:h val="0.84858770142246764"/>
        </c:manualLayout>
      </c:layout>
      <c:scatterChart>
        <c:scatterStyle val="lineMarker"/>
        <c:varyColors val="0"/>
        <c:ser>
          <c:idx val="0"/>
          <c:order val="0"/>
          <c:tx>
            <c:v>Typ Ave Temp</c:v>
          </c:tx>
          <c:spPr>
            <a:ln w="28575">
              <a:noFill/>
            </a:ln>
          </c:spPr>
          <c:xVal>
            <c:numLit>
              <c:formatCode>General</c:formatCode>
              <c:ptCount val="9"/>
              <c:pt idx="0">
                <c:v>2.1</c:v>
              </c:pt>
              <c:pt idx="1">
                <c:v>3.5</c:v>
              </c:pt>
              <c:pt idx="2">
                <c:v>3.8</c:v>
              </c:pt>
              <c:pt idx="3">
                <c:v>4.3</c:v>
              </c:pt>
              <c:pt idx="4">
                <c:v>4.7</c:v>
              </c:pt>
              <c:pt idx="5">
                <c:v>5.0999999999999996</c:v>
              </c:pt>
              <c:pt idx="6">
                <c:v>5.8</c:v>
              </c:pt>
              <c:pt idx="7">
                <c:v>6.4</c:v>
              </c:pt>
              <c:pt idx="8">
                <c:v>7.5</c:v>
              </c:pt>
            </c:numLit>
          </c:xVal>
          <c:yVal>
            <c:numLit>
              <c:formatCode>General</c:formatCode>
              <c:ptCount val="9"/>
              <c:pt idx="0">
                <c:v>10.5</c:v>
              </c:pt>
              <c:pt idx="1">
                <c:v>217.25</c:v>
              </c:pt>
              <c:pt idx="2">
                <c:v>423.25</c:v>
              </c:pt>
              <c:pt idx="3">
                <c:v>625.75</c:v>
              </c:pt>
              <c:pt idx="4">
                <c:v>853.25</c:v>
              </c:pt>
              <c:pt idx="5">
                <c:v>1123</c:v>
              </c:pt>
              <c:pt idx="6">
                <c:v>1567.25</c:v>
              </c:pt>
              <c:pt idx="7">
                <c:v>2567</c:v>
              </c:pt>
              <c:pt idx="8">
                <c:v>3995.5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FE4-403B-A186-DAD60AF7BF66}"/>
            </c:ext>
          </c:extLst>
        </c:ser>
        <c:ser>
          <c:idx val="1"/>
          <c:order val="1"/>
          <c:tx>
            <c:v>Typ Winter Temp</c:v>
          </c:tx>
          <c:spPr>
            <a:ln w="28575">
              <a:noFill/>
            </a:ln>
          </c:spPr>
          <c:xVal>
            <c:numLit>
              <c:formatCode>General</c:formatCode>
              <c:ptCount val="9"/>
              <c:pt idx="0">
                <c:v>2.1</c:v>
              </c:pt>
              <c:pt idx="1">
                <c:v>3.5</c:v>
              </c:pt>
              <c:pt idx="2">
                <c:v>3.8</c:v>
              </c:pt>
              <c:pt idx="3">
                <c:v>4.3</c:v>
              </c:pt>
              <c:pt idx="4">
                <c:v>4.7</c:v>
              </c:pt>
              <c:pt idx="5">
                <c:v>5.0999999999999996</c:v>
              </c:pt>
              <c:pt idx="6">
                <c:v>5.8</c:v>
              </c:pt>
              <c:pt idx="7">
                <c:v>6.4</c:v>
              </c:pt>
              <c:pt idx="8">
                <c:v>7.5</c:v>
              </c:pt>
            </c:numLit>
          </c:xVal>
          <c:yVal>
            <c:numLit>
              <c:formatCode>General</c:formatCode>
              <c:ptCount val="9"/>
              <c:pt idx="0">
                <c:v>28</c:v>
              </c:pt>
              <c:pt idx="1">
                <c:v>392</c:v>
              </c:pt>
              <c:pt idx="2">
                <c:v>668</c:v>
              </c:pt>
              <c:pt idx="3">
                <c:v>1001</c:v>
              </c:pt>
              <c:pt idx="4">
                <c:v>1240</c:v>
              </c:pt>
              <c:pt idx="5">
                <c:v>1703</c:v>
              </c:pt>
              <c:pt idx="6">
                <c:v>2501</c:v>
              </c:pt>
              <c:pt idx="7">
                <c:v>3422</c:v>
              </c:pt>
              <c:pt idx="8">
                <c:v>5028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FE4-403B-A186-DAD60AF7BF66}"/>
            </c:ext>
          </c:extLst>
        </c:ser>
        <c:ser>
          <c:idx val="4"/>
          <c:order val="2"/>
          <c:tx>
            <c:v>Typ Summer Temp</c:v>
          </c:tx>
          <c:spPr>
            <a:ln w="28575">
              <a:noFill/>
            </a:ln>
          </c:spPr>
          <c:xVal>
            <c:numLit>
              <c:formatCode>General</c:formatCode>
              <c:ptCount val="9"/>
              <c:pt idx="0">
                <c:v>2.1</c:v>
              </c:pt>
              <c:pt idx="1">
                <c:v>3.5</c:v>
              </c:pt>
              <c:pt idx="2">
                <c:v>3.8</c:v>
              </c:pt>
              <c:pt idx="3">
                <c:v>4.3</c:v>
              </c:pt>
              <c:pt idx="4">
                <c:v>4.7</c:v>
              </c:pt>
              <c:pt idx="5">
                <c:v>5.0999999999999996</c:v>
              </c:pt>
              <c:pt idx="6">
                <c:v>5.8</c:v>
              </c:pt>
              <c:pt idx="7">
                <c:v>6.4</c:v>
              </c:pt>
              <c:pt idx="8">
                <c:v>7.5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23</c:v>
              </c:pt>
              <c:pt idx="2">
                <c:v>152</c:v>
              </c:pt>
              <c:pt idx="3">
                <c:v>224</c:v>
              </c:pt>
              <c:pt idx="4">
                <c:v>368</c:v>
              </c:pt>
              <c:pt idx="5">
                <c:v>524</c:v>
              </c:pt>
              <c:pt idx="6">
                <c:v>1250</c:v>
              </c:pt>
              <c:pt idx="7">
                <c:v>1567</c:v>
              </c:pt>
              <c:pt idx="8">
                <c:v>2792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FE4-403B-A186-DAD60AF7BF66}"/>
            </c:ext>
          </c:extLst>
        </c:ser>
        <c:ser>
          <c:idx val="2"/>
          <c:order val="3"/>
          <c:tx>
            <c:v>Del Ave Temp</c:v>
          </c:tx>
          <c:spPr>
            <a:ln w="28575">
              <a:noFill/>
            </a:ln>
          </c:spPr>
          <c:xVal>
            <c:numLit>
              <c:formatCode>General</c:formatCode>
              <c:ptCount val="4"/>
              <c:pt idx="0">
                <c:v>4.5</c:v>
              </c:pt>
              <c:pt idx="1">
                <c:v>5.2</c:v>
              </c:pt>
              <c:pt idx="2">
                <c:v>5.4</c:v>
              </c:pt>
              <c:pt idx="3">
                <c:v>5.81</c:v>
              </c:pt>
            </c:numLit>
          </c:xVal>
          <c:yVal>
            <c:numLit>
              <c:formatCode>General</c:formatCode>
              <c:ptCount val="4"/>
              <c:pt idx="0">
                <c:v>196.75</c:v>
              </c:pt>
              <c:pt idx="1">
                <c:v>211.9025</c:v>
              </c:pt>
              <c:pt idx="2">
                <c:v>385.5</c:v>
              </c:pt>
              <c:pt idx="3">
                <c:v>515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FFE4-403B-A186-DAD60AF7BF66}"/>
            </c:ext>
          </c:extLst>
        </c:ser>
        <c:ser>
          <c:idx val="3"/>
          <c:order val="4"/>
          <c:tx>
            <c:v>Del Winter Temps</c:v>
          </c:tx>
          <c:spPr>
            <a:ln w="28575">
              <a:noFill/>
            </a:ln>
          </c:spPr>
          <c:xVal>
            <c:numLit>
              <c:formatCode>General</c:formatCode>
              <c:ptCount val="4"/>
              <c:pt idx="0">
                <c:v>4.5</c:v>
              </c:pt>
              <c:pt idx="1">
                <c:v>5.2</c:v>
              </c:pt>
              <c:pt idx="2">
                <c:v>5.4</c:v>
              </c:pt>
              <c:pt idx="3">
                <c:v>5.81</c:v>
              </c:pt>
            </c:numLit>
          </c:xVal>
          <c:yVal>
            <c:numLit>
              <c:formatCode>General</c:formatCode>
              <c:ptCount val="4"/>
              <c:pt idx="0">
                <c:v>546</c:v>
              </c:pt>
              <c:pt idx="1">
                <c:v>770.6</c:v>
              </c:pt>
              <c:pt idx="2">
                <c:v>767</c:v>
              </c:pt>
              <c:pt idx="3">
                <c:v>1151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FFE4-403B-A186-DAD60AF7BF66}"/>
            </c:ext>
          </c:extLst>
        </c:ser>
        <c:ser>
          <c:idx val="5"/>
          <c:order val="5"/>
          <c:tx>
            <c:v>Del Summer Temps</c:v>
          </c:tx>
          <c:spPr>
            <a:ln w="28575">
              <a:noFill/>
            </a:ln>
          </c:spPr>
          <c:xVal>
            <c:numLit>
              <c:formatCode>General</c:formatCode>
              <c:ptCount val="4"/>
              <c:pt idx="0">
                <c:v>4.5</c:v>
              </c:pt>
              <c:pt idx="1">
                <c:v>5.2</c:v>
              </c:pt>
              <c:pt idx="2">
                <c:v>5.4</c:v>
              </c:pt>
              <c:pt idx="3">
                <c:v>5.81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26</c:v>
              </c:pt>
              <c:pt idx="3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E4-403B-A186-DAD60AF7BF66}"/>
            </c:ext>
          </c:extLst>
        </c:ser>
        <c:ser>
          <c:idx val="6"/>
          <c:order val="6"/>
          <c:tx>
            <c:v>EF Winter</c:v>
          </c:tx>
          <c:spPr>
            <a:ln w="28575">
              <a:noFill/>
            </a:ln>
          </c:spPr>
          <c:marker>
            <c:symbol val="triangle"/>
            <c:size val="10"/>
          </c:marker>
          <c:xVal>
            <c:numLit>
              <c:formatCode>General</c:formatCode>
              <c:ptCount val="1"/>
              <c:pt idx="0">
                <c:v>7.9</c:v>
              </c:pt>
            </c:numLit>
          </c:xVal>
          <c:yVal>
            <c:numLit>
              <c:formatCode>General</c:formatCode>
              <c:ptCount val="1"/>
              <c:pt idx="0">
                <c:v>4956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FFE4-403B-A186-DAD60AF7BF66}"/>
            </c:ext>
          </c:extLst>
        </c:ser>
        <c:ser>
          <c:idx val="7"/>
          <c:order val="7"/>
          <c:tx>
            <c:v>EF Ave</c:v>
          </c:tx>
          <c:spPr>
            <a:ln w="28575">
              <a:noFill/>
            </a:ln>
          </c:spPr>
          <c:marker>
            <c:symbol val="diamond"/>
            <c:size val="9"/>
          </c:marker>
          <c:xVal>
            <c:numLit>
              <c:formatCode>General</c:formatCode>
              <c:ptCount val="1"/>
              <c:pt idx="0">
                <c:v>7.9</c:v>
              </c:pt>
            </c:numLit>
          </c:xVal>
          <c:yVal>
            <c:numLit>
              <c:formatCode>General</c:formatCode>
              <c:ptCount val="1"/>
              <c:pt idx="0">
                <c:v>3923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FFE4-403B-A186-DAD60AF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981120"/>
        <c:axId val="376913920"/>
      </c:scatterChart>
      <c:valAx>
        <c:axId val="3709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913920"/>
        <c:crosses val="autoZero"/>
        <c:crossBetween val="midCat"/>
      </c:valAx>
      <c:valAx>
        <c:axId val="37691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0981120"/>
        <c:crosses val="autoZero"/>
        <c:crossBetween val="midCat"/>
      </c:valAx>
    </c:plotArea>
    <c:legend>
      <c:legendPos val="r"/>
      <c:overlay val="0"/>
      <c:spPr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4.jpeg"/><Relationship Id="rId4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907C1A2D-A466-4F59-9B96-D4FBD3F1D018" TargetMode="External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161925</xdr:rowOff>
    </xdr:from>
    <xdr:to>
      <xdr:col>3</xdr:col>
      <xdr:colOff>828675</xdr:colOff>
      <xdr:row>19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0" y="809625"/>
          <a:ext cx="2628900" cy="2933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19</xdr:row>
      <xdr:rowOff>104775</xdr:rowOff>
    </xdr:from>
    <xdr:to>
      <xdr:col>3</xdr:col>
      <xdr:colOff>828675</xdr:colOff>
      <xdr:row>30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3800475"/>
          <a:ext cx="2628900" cy="1914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31</xdr:row>
      <xdr:rowOff>9525</xdr:rowOff>
    </xdr:from>
    <xdr:to>
      <xdr:col>4</xdr:col>
      <xdr:colOff>552450</xdr:colOff>
      <xdr:row>49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50" y="5800725"/>
          <a:ext cx="4495800" cy="3486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127000</xdr:colOff>
      <xdr:row>28</xdr:row>
      <xdr:rowOff>12700</xdr:rowOff>
    </xdr:from>
    <xdr:to>
      <xdr:col>5</xdr:col>
      <xdr:colOff>200025</xdr:colOff>
      <xdr:row>31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0309F-E064-47E4-B171-0C632EBF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6089650"/>
          <a:ext cx="16097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127000</xdr:colOff>
      <xdr:row>28</xdr:row>
      <xdr:rowOff>12700</xdr:rowOff>
    </xdr:from>
    <xdr:to>
      <xdr:col>5</xdr:col>
      <xdr:colOff>200025</xdr:colOff>
      <xdr:row>31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2BA4E5-6ECC-4B87-BC7F-6715938D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6089650"/>
          <a:ext cx="16097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26</xdr:row>
      <xdr:rowOff>99060</xdr:rowOff>
    </xdr:from>
    <xdr:to>
      <xdr:col>9</xdr:col>
      <xdr:colOff>396240</xdr:colOff>
      <xdr:row>35</xdr:row>
      <xdr:rowOff>76200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328285" y="5052060"/>
          <a:ext cx="1173480" cy="1691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487680</xdr:colOff>
      <xdr:row>30</xdr:row>
      <xdr:rowOff>175260</xdr:rowOff>
    </xdr:from>
    <xdr:to>
      <xdr:col>7</xdr:col>
      <xdr:colOff>441960</xdr:colOff>
      <xdr:row>30</xdr:row>
      <xdr:rowOff>179070</xdr:rowOff>
    </xdr:to>
    <xdr:cxnSp macro="">
      <xdr:nvCxnSpPr>
        <xdr:cNvPr id="3" name="Straight Arrow Connector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>
          <a:endCxn id="2" idx="1"/>
        </xdr:cNvCxnSpPr>
      </xdr:nvCxnSpPr>
      <xdr:spPr>
        <a:xfrm>
          <a:off x="4192905" y="5890260"/>
          <a:ext cx="1135380" cy="381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24</xdr:row>
      <xdr:rowOff>45720</xdr:rowOff>
    </xdr:from>
    <xdr:to>
      <xdr:col>11</xdr:col>
      <xdr:colOff>137160</xdr:colOff>
      <xdr:row>26</xdr:row>
      <xdr:rowOff>99060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>
          <a:stCxn id="2" idx="0"/>
        </xdr:cNvCxnSpPr>
      </xdr:nvCxnSpPr>
      <xdr:spPr>
        <a:xfrm rot="5400000" flipH="1" flipV="1">
          <a:off x="6452235" y="4080510"/>
          <a:ext cx="434340" cy="1508760"/>
        </a:xfrm>
        <a:prstGeom prst="bentConnector2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35</xdr:row>
      <xdr:rowOff>76200</xdr:rowOff>
    </xdr:from>
    <xdr:to>
      <xdr:col>11</xdr:col>
      <xdr:colOff>129540</xdr:colOff>
      <xdr:row>38</xdr:row>
      <xdr:rowOff>53340</xdr:rowOff>
    </xdr:to>
    <xdr:cxnSp macro="">
      <xdr:nvCxnSpPr>
        <xdr:cNvPr id="5" name="Elbow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>
          <a:stCxn id="2" idx="2"/>
        </xdr:cNvCxnSpPr>
      </xdr:nvCxnSpPr>
      <xdr:spPr>
        <a:xfrm rot="16200000" flipH="1">
          <a:off x="6391275" y="6267450"/>
          <a:ext cx="548640" cy="1501140"/>
        </a:xfrm>
        <a:prstGeom prst="bentConnector2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463550</xdr:colOff>
      <xdr:row>37</xdr:row>
      <xdr:rowOff>111172</xdr:rowOff>
    </xdr:from>
    <xdr:to>
      <xdr:col>12</xdr:col>
      <xdr:colOff>463550</xdr:colOff>
      <xdr:row>54</xdr:row>
      <xdr:rowOff>55525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000"/>
                  </a14:imgEffect>
                  <a14:imgEffect>
                    <a14:saturation sa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350" y="7312072"/>
          <a:ext cx="5594350" cy="3182853"/>
        </a:xfrm>
        <a:prstGeom prst="rect">
          <a:avLst/>
        </a:prstGeom>
      </xdr:spPr>
    </xdr:pic>
    <xdr:clientData/>
  </xdr:twoCellAnchor>
  <xdr:twoCellAnchor>
    <xdr:from>
      <xdr:col>11</xdr:col>
      <xdr:colOff>85726</xdr:colOff>
      <xdr:row>16</xdr:row>
      <xdr:rowOff>185736</xdr:rowOff>
    </xdr:from>
    <xdr:to>
      <xdr:col>15</xdr:col>
      <xdr:colOff>447676</xdr:colOff>
      <xdr:row>33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371475</xdr:colOff>
      <xdr:row>21</xdr:row>
      <xdr:rowOff>76200</xdr:rowOff>
    </xdr:from>
    <xdr:to>
      <xdr:col>13</xdr:col>
      <xdr:colOff>542925</xdr:colOff>
      <xdr:row>23</xdr:row>
      <xdr:rowOff>85726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 flipH="1">
          <a:off x="8401050" y="4152900"/>
          <a:ext cx="171450" cy="390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419100</xdr:colOff>
      <xdr:row>20</xdr:row>
      <xdr:rowOff>95250</xdr:rowOff>
    </xdr:from>
    <xdr:ext cx="1121461" cy="2952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8448675" y="3981450"/>
          <a:ext cx="1121461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Cricondentherm</a:t>
          </a:r>
        </a:p>
        <a:p>
          <a:endParaRPr lang="en-US" sz="1100"/>
        </a:p>
      </xdr:txBody>
    </xdr:sp>
    <xdr:clientData/>
  </xdr:oneCellAnchor>
  <xdr:twoCellAnchor>
    <xdr:from>
      <xdr:col>2</xdr:col>
      <xdr:colOff>409575</xdr:colOff>
      <xdr:row>16</xdr:row>
      <xdr:rowOff>157162</xdr:rowOff>
    </xdr:from>
    <xdr:to>
      <xdr:col>6</xdr:col>
      <xdr:colOff>514350</xdr:colOff>
      <xdr:row>32</xdr:row>
      <xdr:rowOff>47626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</xdr:row>
          <xdr:rowOff>19050</xdr:rowOff>
        </xdr:from>
        <xdr:to>
          <xdr:col>3</xdr:col>
          <xdr:colOff>114300</xdr:colOff>
          <xdr:row>7</xdr:row>
          <xdr:rowOff>85725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1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123825</xdr:rowOff>
        </xdr:from>
        <xdr:to>
          <xdr:col>1</xdr:col>
          <xdr:colOff>647700</xdr:colOff>
          <xdr:row>13</xdr:row>
          <xdr:rowOff>28575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1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14</xdr:row>
          <xdr:rowOff>19050</xdr:rowOff>
        </xdr:from>
        <xdr:to>
          <xdr:col>1</xdr:col>
          <xdr:colOff>666750</xdr:colOff>
          <xdr:row>15</xdr:row>
          <xdr:rowOff>104775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1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9525</xdr:rowOff>
        </xdr:from>
        <xdr:to>
          <xdr:col>1</xdr:col>
          <xdr:colOff>657225</xdr:colOff>
          <xdr:row>18</xdr:row>
          <xdr:rowOff>114300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1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123825</xdr:rowOff>
        </xdr:from>
        <xdr:to>
          <xdr:col>2</xdr:col>
          <xdr:colOff>114300</xdr:colOff>
          <xdr:row>21</xdr:row>
          <xdr:rowOff>47625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1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17</xdr:col>
      <xdr:colOff>276224</xdr:colOff>
      <xdr:row>34</xdr:row>
      <xdr:rowOff>123825</xdr:rowOff>
    </xdr:to>
    <xdr:graphicFrame macro="">
      <xdr:nvGraphicFramePr>
        <xdr:cNvPr id="2" name="Chart 1" title="Gas Content, gals/Mcf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409575</xdr:colOff>
      <xdr:row>9</xdr:row>
      <xdr:rowOff>180975</xdr:rowOff>
    </xdr:from>
    <xdr:to>
      <xdr:col>13</xdr:col>
      <xdr:colOff>161925</xdr:colOff>
      <xdr:row>30</xdr:row>
      <xdr:rowOff>66675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628775" y="1895475"/>
          <a:ext cx="6457950" cy="3886200"/>
        </a:xfrm>
        <a:custGeom>
          <a:avLst/>
          <a:gdLst>
            <a:gd name="connsiteX0" fmla="*/ 0 w 7581900"/>
            <a:gd name="connsiteY0" fmla="*/ 3714750 h 3714750"/>
            <a:gd name="connsiteX1" fmla="*/ 2105025 w 7581900"/>
            <a:gd name="connsiteY1" fmla="*/ 3676650 h 3714750"/>
            <a:gd name="connsiteX2" fmla="*/ 3457575 w 7581900"/>
            <a:gd name="connsiteY2" fmla="*/ 3533775 h 3714750"/>
            <a:gd name="connsiteX3" fmla="*/ 4200525 w 7581900"/>
            <a:gd name="connsiteY3" fmla="*/ 3248025 h 3714750"/>
            <a:gd name="connsiteX4" fmla="*/ 5429250 w 7581900"/>
            <a:gd name="connsiteY4" fmla="*/ 2533650 h 3714750"/>
            <a:gd name="connsiteX5" fmla="*/ 6400800 w 7581900"/>
            <a:gd name="connsiteY5" fmla="*/ 1552575 h 3714750"/>
            <a:gd name="connsiteX6" fmla="*/ 7581900 w 7581900"/>
            <a:gd name="connsiteY6" fmla="*/ 0 h 3714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581900" h="3714750">
              <a:moveTo>
                <a:pt x="0" y="3714750"/>
              </a:moveTo>
              <a:cubicBezTo>
                <a:pt x="764381" y="3710781"/>
                <a:pt x="1528762" y="3706813"/>
                <a:pt x="2105025" y="3676650"/>
              </a:cubicBezTo>
              <a:cubicBezTo>
                <a:pt x="2681288" y="3646487"/>
                <a:pt x="3108325" y="3605212"/>
                <a:pt x="3457575" y="3533775"/>
              </a:cubicBezTo>
              <a:cubicBezTo>
                <a:pt x="3806825" y="3462337"/>
                <a:pt x="3871913" y="3414712"/>
                <a:pt x="4200525" y="3248025"/>
              </a:cubicBezTo>
              <a:cubicBezTo>
                <a:pt x="4529137" y="3081338"/>
                <a:pt x="5062538" y="2816225"/>
                <a:pt x="5429250" y="2533650"/>
              </a:cubicBezTo>
              <a:cubicBezTo>
                <a:pt x="5795962" y="2251075"/>
                <a:pt x="6042025" y="1974850"/>
                <a:pt x="6400800" y="1552575"/>
              </a:cubicBezTo>
              <a:cubicBezTo>
                <a:pt x="6759575" y="1130300"/>
                <a:pt x="7170737" y="565150"/>
                <a:pt x="7581900" y="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390525</xdr:colOff>
      <xdr:row>12</xdr:row>
      <xdr:rowOff>171450</xdr:rowOff>
    </xdr:from>
    <xdr:to>
      <xdr:col>13</xdr:col>
      <xdr:colOff>457200</xdr:colOff>
      <xdr:row>30</xdr:row>
      <xdr:rowOff>57151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609725" y="2457450"/>
          <a:ext cx="6772275" cy="3314701"/>
        </a:xfrm>
        <a:custGeom>
          <a:avLst/>
          <a:gdLst>
            <a:gd name="connsiteX0" fmla="*/ 0 w 7534275"/>
            <a:gd name="connsiteY0" fmla="*/ 2581275 h 2581275"/>
            <a:gd name="connsiteX1" fmla="*/ 3476625 w 7534275"/>
            <a:gd name="connsiteY1" fmla="*/ 2543175 h 2581275"/>
            <a:gd name="connsiteX2" fmla="*/ 4286250 w 7534275"/>
            <a:gd name="connsiteY2" fmla="*/ 2371725 h 2581275"/>
            <a:gd name="connsiteX3" fmla="*/ 5457825 w 7534275"/>
            <a:gd name="connsiteY3" fmla="*/ 1866900 h 2581275"/>
            <a:gd name="connsiteX4" fmla="*/ 6286500 w 7534275"/>
            <a:gd name="connsiteY4" fmla="*/ 1219200 h 2581275"/>
            <a:gd name="connsiteX5" fmla="*/ 7534275 w 7534275"/>
            <a:gd name="connsiteY5" fmla="*/ 0 h 2581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7534275" h="2581275">
              <a:moveTo>
                <a:pt x="0" y="2581275"/>
              </a:moveTo>
              <a:lnTo>
                <a:pt x="3476625" y="2543175"/>
              </a:lnTo>
              <a:cubicBezTo>
                <a:pt x="4191000" y="2508250"/>
                <a:pt x="3956050" y="2484438"/>
                <a:pt x="4286250" y="2371725"/>
              </a:cubicBezTo>
              <a:cubicBezTo>
                <a:pt x="4616450" y="2259012"/>
                <a:pt x="5124450" y="2058987"/>
                <a:pt x="5457825" y="1866900"/>
              </a:cubicBezTo>
              <a:cubicBezTo>
                <a:pt x="5791200" y="1674813"/>
                <a:pt x="5940425" y="1530350"/>
                <a:pt x="6286500" y="1219200"/>
              </a:cubicBezTo>
              <a:cubicBezTo>
                <a:pt x="6632575" y="908050"/>
                <a:pt x="7083425" y="454025"/>
                <a:pt x="7534275" y="0"/>
              </a:cubicBezTo>
            </a:path>
          </a:pathLst>
        </a:cu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419099</xdr:colOff>
      <xdr:row>21</xdr:row>
      <xdr:rowOff>180976</xdr:rowOff>
    </xdr:from>
    <xdr:to>
      <xdr:col>11</xdr:col>
      <xdr:colOff>323850</xdr:colOff>
      <xdr:row>30</xdr:row>
      <xdr:rowOff>66676</xdr:rowOff>
    </xdr:to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638299" y="4181476"/>
          <a:ext cx="5391151" cy="1600200"/>
        </a:xfrm>
        <a:custGeom>
          <a:avLst/>
          <a:gdLst>
            <a:gd name="connsiteX0" fmla="*/ 0 w 6029325"/>
            <a:gd name="connsiteY0" fmla="*/ 1238250 h 1238250"/>
            <a:gd name="connsiteX1" fmla="*/ 3343275 w 6029325"/>
            <a:gd name="connsiteY1" fmla="*/ 1143000 h 1238250"/>
            <a:gd name="connsiteX2" fmla="*/ 4914900 w 6029325"/>
            <a:gd name="connsiteY2" fmla="*/ 685800 h 1238250"/>
            <a:gd name="connsiteX3" fmla="*/ 5838825 w 6029325"/>
            <a:gd name="connsiteY3" fmla="*/ 161925 h 1238250"/>
            <a:gd name="connsiteX4" fmla="*/ 6029325 w 6029325"/>
            <a:gd name="connsiteY4" fmla="*/ 0 h 1238250"/>
            <a:gd name="connsiteX5" fmla="*/ 6029325 w 6029325"/>
            <a:gd name="connsiteY5" fmla="*/ 0 h 1238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029325" h="1238250">
              <a:moveTo>
                <a:pt x="0" y="1238250"/>
              </a:moveTo>
              <a:cubicBezTo>
                <a:pt x="1262062" y="1236662"/>
                <a:pt x="2524125" y="1235075"/>
                <a:pt x="3343275" y="1143000"/>
              </a:cubicBezTo>
              <a:cubicBezTo>
                <a:pt x="4162425" y="1050925"/>
                <a:pt x="4498975" y="849312"/>
                <a:pt x="4914900" y="685800"/>
              </a:cubicBezTo>
              <a:cubicBezTo>
                <a:pt x="5330825" y="522288"/>
                <a:pt x="5653088" y="276225"/>
                <a:pt x="5838825" y="161925"/>
              </a:cubicBezTo>
              <a:cubicBezTo>
                <a:pt x="6024562" y="47625"/>
                <a:pt x="6029325" y="0"/>
                <a:pt x="6029325" y="0"/>
              </a:cubicBezTo>
              <a:lnTo>
                <a:pt x="6029325" y="0"/>
              </a:lnTo>
            </a:path>
          </a:pathLst>
        </a:custGeom>
        <a:noFill/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381000</xdr:colOff>
      <xdr:row>24</xdr:row>
      <xdr:rowOff>161926</xdr:rowOff>
    </xdr:from>
    <xdr:to>
      <xdr:col>11</xdr:col>
      <xdr:colOff>419100</xdr:colOff>
      <xdr:row>30</xdr:row>
      <xdr:rowOff>66676</xdr:rowOff>
    </xdr:to>
    <xdr:sp macro="" textlink="">
      <xdr:nvSpPr>
        <xdr:cNvPr id="6" name="Freefor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600200" y="4733926"/>
          <a:ext cx="5524500" cy="1047750"/>
        </a:xfrm>
        <a:custGeom>
          <a:avLst/>
          <a:gdLst>
            <a:gd name="connsiteX0" fmla="*/ 0 w 5514975"/>
            <a:gd name="connsiteY0" fmla="*/ 542925 h 542925"/>
            <a:gd name="connsiteX1" fmla="*/ 3171825 w 5514975"/>
            <a:gd name="connsiteY1" fmla="*/ 514350 h 542925"/>
            <a:gd name="connsiteX2" fmla="*/ 4400550 w 5514975"/>
            <a:gd name="connsiteY2" fmla="*/ 428625 h 542925"/>
            <a:gd name="connsiteX3" fmla="*/ 5067300 w 5514975"/>
            <a:gd name="connsiteY3" fmla="*/ 247650 h 542925"/>
            <a:gd name="connsiteX4" fmla="*/ 5514975 w 5514975"/>
            <a:gd name="connsiteY4" fmla="*/ 0 h 542925"/>
            <a:gd name="connsiteX5" fmla="*/ 5514975 w 5514975"/>
            <a:gd name="connsiteY5" fmla="*/ 0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5514975" h="542925">
              <a:moveTo>
                <a:pt x="0" y="542925"/>
              </a:moveTo>
              <a:lnTo>
                <a:pt x="3171825" y="514350"/>
              </a:lnTo>
              <a:cubicBezTo>
                <a:pt x="3905250" y="495300"/>
                <a:pt x="4084638" y="473075"/>
                <a:pt x="4400550" y="428625"/>
              </a:cubicBezTo>
              <a:cubicBezTo>
                <a:pt x="4716462" y="384175"/>
                <a:pt x="4881563" y="319087"/>
                <a:pt x="5067300" y="247650"/>
              </a:cubicBezTo>
              <a:cubicBezTo>
                <a:pt x="5253037" y="176213"/>
                <a:pt x="5514975" y="0"/>
                <a:pt x="5514975" y="0"/>
              </a:cubicBezTo>
              <a:lnTo>
                <a:pt x="5514975" y="0"/>
              </a:lnTo>
            </a:path>
          </a:pathLst>
        </a:cu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0.09972</cdr:x>
      <cdr:y>0.12557</cdr:y>
    </cdr:from>
    <cdr:to>
      <cdr:x>0.73789</cdr:x>
      <cdr:y>0.8683</cdr:y>
    </cdr:to>
    <cdr:sp macro="" textlink="">
      <cdr:nvSpPr>
        <cdr:cNvPr id="2" name="Freeform 1"/>
        <cdr:cNvSpPr/>
      </cdr:nvSpPr>
      <cdr:spPr>
        <a:xfrm xmlns:a="http://schemas.openxmlformats.org/drawingml/2006/main">
          <a:off x="1000174" y="781050"/>
          <a:ext cx="6400752" cy="4619624"/>
        </a:xfrm>
        <a:custGeom xmlns:a="http://schemas.openxmlformats.org/drawingml/2006/main">
          <a:avLst/>
          <a:gdLst>
            <a:gd name="connsiteX0" fmla="*/ 0 w 7581900"/>
            <a:gd name="connsiteY0" fmla="*/ 4619625 h 4619625"/>
            <a:gd name="connsiteX1" fmla="*/ 2105025 w 7581900"/>
            <a:gd name="connsiteY1" fmla="*/ 4591050 h 4619625"/>
            <a:gd name="connsiteX2" fmla="*/ 3524250 w 7581900"/>
            <a:gd name="connsiteY2" fmla="*/ 4257675 h 4619625"/>
            <a:gd name="connsiteX3" fmla="*/ 4762500 w 7581900"/>
            <a:gd name="connsiteY3" fmla="*/ 3457575 h 4619625"/>
            <a:gd name="connsiteX4" fmla="*/ 6267450 w 7581900"/>
            <a:gd name="connsiteY4" fmla="*/ 1819275 h 4619625"/>
            <a:gd name="connsiteX5" fmla="*/ 7581900 w 7581900"/>
            <a:gd name="connsiteY5" fmla="*/ 0 h 4619625"/>
            <a:gd name="connsiteX6" fmla="*/ 7581900 w 7581900"/>
            <a:gd name="connsiteY6" fmla="*/ 0 h 4619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581900" h="4619625">
              <a:moveTo>
                <a:pt x="0" y="4619625"/>
              </a:moveTo>
              <a:lnTo>
                <a:pt x="2105025" y="4591050"/>
              </a:lnTo>
              <a:cubicBezTo>
                <a:pt x="2692400" y="4530725"/>
                <a:pt x="3081338" y="4446587"/>
                <a:pt x="3524250" y="4257675"/>
              </a:cubicBezTo>
              <a:cubicBezTo>
                <a:pt x="3967163" y="4068762"/>
                <a:pt x="4305300" y="3863975"/>
                <a:pt x="4762500" y="3457575"/>
              </a:cubicBezTo>
              <a:cubicBezTo>
                <a:pt x="5219700" y="3051175"/>
                <a:pt x="5797550" y="2395537"/>
                <a:pt x="6267450" y="1819275"/>
              </a:cubicBezTo>
              <a:cubicBezTo>
                <a:pt x="6737350" y="1243013"/>
                <a:pt x="7581900" y="0"/>
                <a:pt x="7581900" y="0"/>
              </a:cubicBezTo>
              <a:lnTo>
                <a:pt x="7581900" y="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0.09971</cdr:x>
      <cdr:y>0.85452</cdr:y>
    </cdr:from>
    <cdr:to>
      <cdr:x>0.66762</cdr:x>
      <cdr:y>0.86218</cdr:y>
    </cdr:to>
    <cdr:sp macro="" textlink="">
      <cdr:nvSpPr>
        <cdr:cNvPr id="3" name="Freeform 2"/>
        <cdr:cNvSpPr/>
      </cdr:nvSpPr>
      <cdr:spPr>
        <a:xfrm xmlns:a="http://schemas.openxmlformats.org/drawingml/2006/main">
          <a:off x="1000077" y="5314939"/>
          <a:ext cx="5696038" cy="47644"/>
        </a:xfrm>
        <a:custGeom xmlns:a="http://schemas.openxmlformats.org/drawingml/2006/main">
          <a:avLst/>
          <a:gdLst>
            <a:gd name="connsiteX0" fmla="*/ 0 w 5928932"/>
            <a:gd name="connsiteY0" fmla="*/ 111190 h 111190"/>
            <a:gd name="connsiteX1" fmla="*/ 2124075 w 5928932"/>
            <a:gd name="connsiteY1" fmla="*/ 101665 h 111190"/>
            <a:gd name="connsiteX2" fmla="*/ 4562475 w 5928932"/>
            <a:gd name="connsiteY2" fmla="*/ 101665 h 111190"/>
            <a:gd name="connsiteX3" fmla="*/ 5324475 w 5928932"/>
            <a:gd name="connsiteY3" fmla="*/ 82615 h 111190"/>
            <a:gd name="connsiteX4" fmla="*/ 5743575 w 5928932"/>
            <a:gd name="connsiteY4" fmla="*/ 73090 h 111190"/>
            <a:gd name="connsiteX5" fmla="*/ 5905500 w 5928932"/>
            <a:gd name="connsiteY5" fmla="*/ 6415 h 111190"/>
            <a:gd name="connsiteX6" fmla="*/ 5924550 w 5928932"/>
            <a:gd name="connsiteY6" fmla="*/ 6415 h 1111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28932" h="111190">
              <a:moveTo>
                <a:pt x="0" y="111190"/>
              </a:moveTo>
              <a:lnTo>
                <a:pt x="2124075" y="101665"/>
              </a:lnTo>
              <a:lnTo>
                <a:pt x="4562475" y="101665"/>
              </a:lnTo>
              <a:cubicBezTo>
                <a:pt x="5095875" y="98490"/>
                <a:pt x="5324475" y="82615"/>
                <a:pt x="5324475" y="82615"/>
              </a:cubicBezTo>
              <a:cubicBezTo>
                <a:pt x="5521325" y="77853"/>
                <a:pt x="5646738" y="85790"/>
                <a:pt x="5743575" y="73090"/>
              </a:cubicBezTo>
              <a:cubicBezTo>
                <a:pt x="5840413" y="60390"/>
                <a:pt x="5875338" y="17527"/>
                <a:pt x="5905500" y="6415"/>
              </a:cubicBezTo>
              <a:cubicBezTo>
                <a:pt x="5935662" y="-4697"/>
                <a:pt x="5930106" y="859"/>
                <a:pt x="5924550" y="6415"/>
              </a:cubicBez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0.36942</cdr:x>
      <cdr:y>0.91271</cdr:y>
    </cdr:from>
    <cdr:to>
      <cdr:x>0.56315</cdr:x>
      <cdr:y>0.96172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05226" y="5676900"/>
          <a:ext cx="19431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Gas</a:t>
          </a:r>
          <a:r>
            <a:rPr lang="en-US" sz="1100" b="1" baseline="0"/>
            <a:t> Content, gals per Mcf</a:t>
          </a:r>
          <a:endParaRPr lang="en-US" sz="1100" b="1"/>
        </a:p>
      </cdr:txBody>
    </cdr:sp>
  </cdr:relSizeAnchor>
  <cdr:relSizeAnchor xmlns:cdr="http://schemas.openxmlformats.org/drawingml/2006/chartDrawing">
    <cdr:from>
      <cdr:x>0.02374</cdr:x>
      <cdr:y>0.25115</cdr:y>
    </cdr:from>
    <cdr:to>
      <cdr:x>0.05983</cdr:x>
      <cdr:y>0.69525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-962024" y="2762250"/>
          <a:ext cx="27622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Hydrocarbon</a:t>
          </a:r>
          <a:r>
            <a:rPr lang="en-US" sz="1100" b="1" baseline="0"/>
            <a:t> Drop Out, Bpd (per 100MMscfd)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0.11016</cdr:x>
      <cdr:y>0.19755</cdr:y>
    </cdr:from>
    <cdr:to>
      <cdr:x>0.46439</cdr:x>
      <cdr:y>0.29862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104900" y="1228725"/>
          <a:ext cx="3552826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Typical Gas</a:t>
          </a:r>
          <a:r>
            <a:rPr lang="en-US" sz="1000" baseline="0"/>
            <a:t>:   Average C5+ mol % = 1.75%</a:t>
          </a:r>
        </a:p>
        <a:p xmlns:a="http://schemas.openxmlformats.org/drawingml/2006/main">
          <a:r>
            <a:rPr lang="en-US" sz="1000" baseline="0"/>
            <a:t>Delaware Gas :  Average C5+ mol% = 1.00%</a:t>
          </a:r>
          <a:endParaRPr lang="en-US" sz="1000"/>
        </a:p>
      </cdr:txBody>
    </cdr:sp>
  </cdr:relSizeAnchor>
  <cdr:relSizeAnchor xmlns:cdr="http://schemas.openxmlformats.org/drawingml/2006/chartDrawing">
    <cdr:from>
      <cdr:x>0.10256</cdr:x>
      <cdr:y>0.32772</cdr:y>
    </cdr:from>
    <cdr:to>
      <cdr:x>0.66857</cdr:x>
      <cdr:y>0.47473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028700" y="2038350"/>
          <a:ext cx="5676901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Winter:</a:t>
          </a:r>
          <a:r>
            <a:rPr lang="en-US" sz="1000" baseline="0"/>
            <a:t>  75F @ Compressor Cooler discharge,  51F Ground Temp, 31F - 74F Ave Ambient Temp</a:t>
          </a:r>
        </a:p>
        <a:p xmlns:a="http://schemas.openxmlformats.org/drawingml/2006/main">
          <a:r>
            <a:rPr lang="en-US" sz="1000" baseline="0"/>
            <a:t>Summer: 136F @ Compressor Cooler  discharge, 83 F Ground Temp, 67F - 95F Ave Ambient Temp</a:t>
          </a:r>
        </a:p>
        <a:p xmlns:a="http://schemas.openxmlformats.org/drawingml/2006/main">
          <a:r>
            <a:rPr lang="en-US" sz="1000" baseline="0"/>
            <a:t>Average:  102F @ Compressor Cooler discharge, 67 F Ground Temp, 51F - 80F Ave Ambient Temp</a:t>
          </a:r>
          <a:endParaRPr lang="en-US" sz="1000"/>
        </a:p>
      </cdr:txBody>
    </cdr:sp>
  </cdr:relSizeAnchor>
  <cdr:relSizeAnchor xmlns:cdr="http://schemas.openxmlformats.org/drawingml/2006/chartDrawing">
    <cdr:from>
      <cdr:x>0.33143</cdr:x>
      <cdr:y>0.04288</cdr:y>
    </cdr:from>
    <cdr:to>
      <cdr:x>0.67901</cdr:x>
      <cdr:y>0.10873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324226" y="266700"/>
          <a:ext cx="34861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/>
            <a:t>Hydrocarbon Dropout</a:t>
          </a:r>
          <a:r>
            <a:rPr lang="en-US" sz="2000" b="1" baseline="0"/>
            <a:t> Rates </a:t>
          </a:r>
          <a:r>
            <a:rPr lang="en-US" sz="2000" b="1" baseline="30000"/>
            <a:t>(1)</a:t>
          </a:r>
        </a:p>
      </cdr:txBody>
    </cdr:sp>
  </cdr:relSizeAnchor>
  <cdr:relSizeAnchor xmlns:cdr="http://schemas.openxmlformats.org/drawingml/2006/chartDrawing">
    <cdr:from>
      <cdr:x>0.64767</cdr:x>
      <cdr:y>0.92496</cdr:y>
    </cdr:from>
    <cdr:to>
      <cdr:x>0.99715</cdr:x>
      <cdr:y>0.98928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496050" y="5753099"/>
          <a:ext cx="3505201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(1) Hydrocarbon dropout rate includes pipeline and compression</a:t>
          </a:r>
          <a:r>
            <a:rPr lang="en-US" sz="900" baseline="0"/>
            <a:t> </a:t>
          </a:r>
        </a:p>
        <a:p xmlns:a="http://schemas.openxmlformats.org/drawingml/2006/main">
          <a:r>
            <a:rPr lang="en-US" sz="900" baseline="0"/>
            <a:t>      liquids  based on attached configuration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9525</xdr:rowOff>
    </xdr:from>
    <xdr:to>
      <xdr:col>5</xdr:col>
      <xdr:colOff>95250</xdr:colOff>
      <xdr:row>7</xdr:row>
      <xdr:rowOff>0</xdr:rowOff>
    </xdr:to>
    <xdr:grpSp>
      <xdr:nvGrpSpPr>
        <xdr:cNvPr id="2" name="Group 3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2400300" y="771525"/>
          <a:ext cx="247650" cy="561975"/>
          <a:chOff x="2255" y="45"/>
          <a:chExt cx="49" cy="180"/>
        </a:xfrm>
      </xdr:grpSpPr>
      <xdr:sp macro="" textlink="">
        <xdr:nvSpPr>
          <xdr:cNvPr id="3" name="Oval 327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328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Oval 329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Rectangle 330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Rectangle 33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332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583552</xdr:colOff>
      <xdr:row>4</xdr:row>
      <xdr:rowOff>9525</xdr:rowOff>
    </xdr:from>
    <xdr:to>
      <xdr:col>7</xdr:col>
      <xdr:colOff>123443</xdr:colOff>
      <xdr:row>11</xdr:row>
      <xdr:rowOff>171450</xdr:rowOff>
    </xdr:to>
    <xdr:cxnSp macro="">
      <xdr:nvCxnSpPr>
        <xdr:cNvPr id="50" name="Elbow Connector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>
          <a:stCxn id="3" idx="0"/>
          <a:endCxn id="185" idx="0"/>
        </xdr:cNvCxnSpPr>
      </xdr:nvCxnSpPr>
      <xdr:spPr>
        <a:xfrm rot="16200000" flipH="1">
          <a:off x="4330185" y="1406392"/>
          <a:ext cx="1495425" cy="1368691"/>
        </a:xfrm>
        <a:prstGeom prst="bentConnector3">
          <a:avLst>
            <a:gd name="adj1" fmla="val -15287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12</xdr:row>
      <xdr:rowOff>23813</xdr:rowOff>
    </xdr:from>
    <xdr:to>
      <xdr:col>8</xdr:col>
      <xdr:colOff>1</xdr:colOff>
      <xdr:row>13</xdr:row>
      <xdr:rowOff>71438</xdr:rowOff>
    </xdr:to>
    <xdr:cxnSp macro="">
      <xdr:nvCxnSpPr>
        <xdr:cNvPr id="126" name="Elbow Connector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CxnSpPr>
          <a:stCxn id="183" idx="6"/>
          <a:endCxn id="206" idx="1"/>
        </xdr:cNvCxnSpPr>
      </xdr:nvCxnSpPr>
      <xdr:spPr>
        <a:xfrm>
          <a:off x="5829300" y="2881313"/>
          <a:ext cx="419101" cy="2381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337983</xdr:colOff>
      <xdr:row>5</xdr:row>
      <xdr:rowOff>69827</xdr:rowOff>
    </xdr:from>
    <xdr:to>
      <xdr:col>4</xdr:col>
      <xdr:colOff>481372</xdr:colOff>
      <xdr:row>5</xdr:row>
      <xdr:rowOff>71694</xdr:rowOff>
    </xdr:to>
    <xdr:cxnSp macro="">
      <xdr:nvCxnSpPr>
        <xdr:cNvPr id="136" name="Elbow Connector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CxnSpPr/>
      </xdr:nvCxnSpPr>
      <xdr:spPr>
        <a:xfrm flipV="1">
          <a:off x="2928783" y="1593827"/>
          <a:ext cx="1362589" cy="186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190501</xdr:colOff>
      <xdr:row>13</xdr:row>
      <xdr:rowOff>66675</xdr:rowOff>
    </xdr:from>
    <xdr:to>
      <xdr:col>13</xdr:col>
      <xdr:colOff>571500</xdr:colOff>
      <xdr:row>13</xdr:row>
      <xdr:rowOff>71438</xdr:rowOff>
    </xdr:to>
    <xdr:cxnSp macro="">
      <xdr:nvCxnSpPr>
        <xdr:cNvPr id="137" name="Elbow Connector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CxnSpPr>
          <a:stCxn id="206" idx="3"/>
        </xdr:cNvCxnSpPr>
      </xdr:nvCxnSpPr>
      <xdr:spPr>
        <a:xfrm flipV="1">
          <a:off x="6400801" y="2543175"/>
          <a:ext cx="1600199" cy="4763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573615</xdr:colOff>
      <xdr:row>1</xdr:row>
      <xdr:rowOff>143935</xdr:rowOff>
    </xdr:from>
    <xdr:to>
      <xdr:col>6</xdr:col>
      <xdr:colOff>68790</xdr:colOff>
      <xdr:row>3</xdr:row>
      <xdr:rowOff>24343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GrpSpPr/>
      </xdr:nvGrpSpPr>
      <xdr:grpSpPr>
        <a:xfrm rot="16488717">
          <a:off x="3047999" y="412751"/>
          <a:ext cx="261408" cy="104775"/>
          <a:chOff x="1247775" y="900113"/>
          <a:chExt cx="352426" cy="142875"/>
        </a:xfrm>
      </xdr:grpSpPr>
      <xdr:cxnSp macro="">
        <xdr:nvCxnSpPr>
          <xdr:cNvPr id="139" name="Straight Connector 138">
            <a:extLst>
              <a:ext uri="{FF2B5EF4-FFF2-40B4-BE49-F238E27FC236}">
                <a16:creationId xmlns:a16="http://schemas.microsoft.com/office/drawing/2014/main" id="{00000000-0008-0000-0300-00008B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300-00008C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1" name="Oval 140">
            <a:extLst>
              <a:ext uri="{FF2B5EF4-FFF2-40B4-BE49-F238E27FC236}">
                <a16:creationId xmlns:a16="http://schemas.microsoft.com/office/drawing/2014/main" id="{00000000-0008-0000-0300-00008D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42" name="Straight Connector 141">
            <a:extLst>
              <a:ext uri="{FF2B5EF4-FFF2-40B4-BE49-F238E27FC236}">
                <a16:creationId xmlns:a16="http://schemas.microsoft.com/office/drawing/2014/main" id="{00000000-0008-0000-0300-00008E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348225</xdr:colOff>
      <xdr:row>3</xdr:row>
      <xdr:rowOff>163871</xdr:rowOff>
    </xdr:from>
    <xdr:to>
      <xdr:col>3</xdr:col>
      <xdr:colOff>563306</xdr:colOff>
      <xdr:row>5</xdr:row>
      <xdr:rowOff>0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/>
      </xdr:nvSpPr>
      <xdr:spPr>
        <a:xfrm>
          <a:off x="3548625" y="1306871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11</xdr:col>
      <xdr:colOff>280425</xdr:colOff>
      <xdr:row>11</xdr:row>
      <xdr:rowOff>161720</xdr:rowOff>
    </xdr:from>
    <xdr:to>
      <xdr:col>11</xdr:col>
      <xdr:colOff>490590</xdr:colOff>
      <xdr:row>13</xdr:row>
      <xdr:rowOff>1946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>
        <a:xfrm>
          <a:off x="6490725" y="2257220"/>
          <a:ext cx="210165" cy="22122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9</a:t>
          </a:r>
        </a:p>
      </xdr:txBody>
    </xdr:sp>
    <xdr:clientData/>
  </xdr:twoCellAnchor>
  <xdr:twoCellAnchor>
    <xdr:from>
      <xdr:col>4</xdr:col>
      <xdr:colOff>414492</xdr:colOff>
      <xdr:row>8</xdr:row>
      <xdr:rowOff>109526</xdr:rowOff>
    </xdr:from>
    <xdr:to>
      <xdr:col>5</xdr:col>
      <xdr:colOff>52542</xdr:colOff>
      <xdr:row>11</xdr:row>
      <xdr:rowOff>100001</xdr:rowOff>
    </xdr:to>
    <xdr:grpSp>
      <xdr:nvGrpSpPr>
        <xdr:cNvPr id="147" name="Group 32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GrpSpPr>
          <a:grpSpLocks/>
        </xdr:cNvGrpSpPr>
      </xdr:nvGrpSpPr>
      <xdr:grpSpPr bwMode="auto">
        <a:xfrm>
          <a:off x="2357592" y="1633526"/>
          <a:ext cx="247650" cy="561975"/>
          <a:chOff x="2255" y="45"/>
          <a:chExt cx="49" cy="180"/>
        </a:xfrm>
      </xdr:grpSpPr>
      <xdr:sp macro="" textlink="">
        <xdr:nvSpPr>
          <xdr:cNvPr id="148" name="Oval 327">
            <a:extLst>
              <a:ext uri="{FF2B5EF4-FFF2-40B4-BE49-F238E27FC236}">
                <a16:creationId xmlns:a16="http://schemas.microsoft.com/office/drawing/2014/main" id="{00000000-0008-0000-0300-000094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9" name="Rectangle 328">
            <a:extLst>
              <a:ext uri="{FF2B5EF4-FFF2-40B4-BE49-F238E27FC236}">
                <a16:creationId xmlns:a16="http://schemas.microsoft.com/office/drawing/2014/main" id="{00000000-0008-0000-0300-00009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0" name="Oval 329">
            <a:extLst>
              <a:ext uri="{FF2B5EF4-FFF2-40B4-BE49-F238E27FC236}">
                <a16:creationId xmlns:a16="http://schemas.microsoft.com/office/drawing/2014/main" id="{00000000-0008-0000-0300-00009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1" name="Rectangle 330">
            <a:extLst>
              <a:ext uri="{FF2B5EF4-FFF2-40B4-BE49-F238E27FC236}">
                <a16:creationId xmlns:a16="http://schemas.microsoft.com/office/drawing/2014/main" id="{00000000-0008-0000-0300-000097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2" name="Rectangle 331">
            <a:extLst>
              <a:ext uri="{FF2B5EF4-FFF2-40B4-BE49-F238E27FC236}">
                <a16:creationId xmlns:a16="http://schemas.microsoft.com/office/drawing/2014/main" id="{00000000-0008-0000-0300-000098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3" name="Line 332">
            <a:extLst>
              <a:ext uri="{FF2B5EF4-FFF2-40B4-BE49-F238E27FC236}">
                <a16:creationId xmlns:a16="http://schemas.microsoft.com/office/drawing/2014/main" id="{00000000-0008-0000-0300-000099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540845</xdr:colOff>
      <xdr:row>8</xdr:row>
      <xdr:rowOff>109526</xdr:rowOff>
    </xdr:from>
    <xdr:to>
      <xdr:col>7</xdr:col>
      <xdr:colOff>61725</xdr:colOff>
      <xdr:row>11</xdr:row>
      <xdr:rowOff>184004</xdr:rowOff>
    </xdr:to>
    <xdr:cxnSp macro="">
      <xdr:nvCxnSpPr>
        <xdr:cNvPr id="154" name="Elbow Connector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CxnSpPr>
          <a:stCxn id="148" idx="0"/>
          <a:endCxn id="184" idx="1"/>
        </xdr:cNvCxnSpPr>
      </xdr:nvCxnSpPr>
      <xdr:spPr>
        <a:xfrm rot="16200000" flipH="1">
          <a:off x="4702696" y="1853175"/>
          <a:ext cx="645978" cy="1349680"/>
        </a:xfrm>
        <a:prstGeom prst="bentConnector3">
          <a:avLst>
            <a:gd name="adj1" fmla="val -35388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9</xdr:row>
      <xdr:rowOff>171450</xdr:rowOff>
    </xdr:from>
    <xdr:to>
      <xdr:col>4</xdr:col>
      <xdr:colOff>454925</xdr:colOff>
      <xdr:row>9</xdr:row>
      <xdr:rowOff>173476</xdr:rowOff>
    </xdr:to>
    <xdr:cxnSp macro="">
      <xdr:nvCxnSpPr>
        <xdr:cNvPr id="155" name="Elbow Connector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CxnSpPr>
          <a:endCxn id="151" idx="1"/>
        </xdr:cNvCxnSpPr>
      </xdr:nvCxnSpPr>
      <xdr:spPr>
        <a:xfrm>
          <a:off x="2971800" y="2457450"/>
          <a:ext cx="1293125" cy="202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6</xdr:row>
      <xdr:rowOff>47626</xdr:rowOff>
    </xdr:from>
    <xdr:to>
      <xdr:col>6</xdr:col>
      <xdr:colOff>57150</xdr:colOff>
      <xdr:row>7</xdr:row>
      <xdr:rowOff>118534</xdr:rowOff>
    </xdr:to>
    <xdr:grpSp>
      <xdr:nvGrpSpPr>
        <xdr:cNvPr id="159" name="Group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GrpSpPr/>
      </xdr:nvGrpSpPr>
      <xdr:grpSpPr>
        <a:xfrm rot="16200000">
          <a:off x="3036359" y="1268942"/>
          <a:ext cx="261408" cy="104775"/>
          <a:chOff x="1247775" y="900113"/>
          <a:chExt cx="352426" cy="142875"/>
        </a:xfrm>
      </xdr:grpSpPr>
      <xdr:cxnSp macro="">
        <xdr:nvCxnSpPr>
          <xdr:cNvPr id="160" name="Straight Connector 159">
            <a:extLst>
              <a:ext uri="{FF2B5EF4-FFF2-40B4-BE49-F238E27FC236}">
                <a16:creationId xmlns:a16="http://schemas.microsoft.com/office/drawing/2014/main" id="{00000000-0008-0000-0300-0000A0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1" name="Straight Connector 160">
            <a:extLst>
              <a:ext uri="{FF2B5EF4-FFF2-40B4-BE49-F238E27FC236}">
                <a16:creationId xmlns:a16="http://schemas.microsoft.com/office/drawing/2014/main" id="{00000000-0008-0000-0300-0000A1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2" name="Oval 161">
            <a:extLst>
              <a:ext uri="{FF2B5EF4-FFF2-40B4-BE49-F238E27FC236}">
                <a16:creationId xmlns:a16="http://schemas.microsoft.com/office/drawing/2014/main" id="{00000000-0008-0000-0300-0000A2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63" name="Straight Connector 162">
            <a:extLst>
              <a:ext uri="{FF2B5EF4-FFF2-40B4-BE49-F238E27FC236}">
                <a16:creationId xmlns:a16="http://schemas.microsoft.com/office/drawing/2014/main" id="{00000000-0008-0000-0300-0000A3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357342</xdr:colOff>
      <xdr:row>15</xdr:row>
      <xdr:rowOff>33326</xdr:rowOff>
    </xdr:from>
    <xdr:to>
      <xdr:col>4</xdr:col>
      <xdr:colOff>604992</xdr:colOff>
      <xdr:row>18</xdr:row>
      <xdr:rowOff>23801</xdr:rowOff>
    </xdr:to>
    <xdr:grpSp>
      <xdr:nvGrpSpPr>
        <xdr:cNvPr id="164" name="Group 326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GrpSpPr>
          <a:grpSpLocks/>
        </xdr:cNvGrpSpPr>
      </xdr:nvGrpSpPr>
      <xdr:grpSpPr bwMode="auto">
        <a:xfrm>
          <a:off x="2300442" y="2890826"/>
          <a:ext cx="247650" cy="561975"/>
          <a:chOff x="2255" y="45"/>
          <a:chExt cx="49" cy="180"/>
        </a:xfrm>
      </xdr:grpSpPr>
      <xdr:sp macro="" textlink="">
        <xdr:nvSpPr>
          <xdr:cNvPr id="165" name="Oval 327">
            <a:extLst>
              <a:ext uri="{FF2B5EF4-FFF2-40B4-BE49-F238E27FC236}">
                <a16:creationId xmlns:a16="http://schemas.microsoft.com/office/drawing/2014/main" id="{00000000-0008-0000-0300-0000A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6" name="Rectangle 328">
            <a:extLst>
              <a:ext uri="{FF2B5EF4-FFF2-40B4-BE49-F238E27FC236}">
                <a16:creationId xmlns:a16="http://schemas.microsoft.com/office/drawing/2014/main" id="{00000000-0008-0000-0300-0000A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7" name="Oval 329">
            <a:extLst>
              <a:ext uri="{FF2B5EF4-FFF2-40B4-BE49-F238E27FC236}">
                <a16:creationId xmlns:a16="http://schemas.microsoft.com/office/drawing/2014/main" id="{00000000-0008-0000-0300-0000A7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8" name="Rectangle 330">
            <a:extLst>
              <a:ext uri="{FF2B5EF4-FFF2-40B4-BE49-F238E27FC236}">
                <a16:creationId xmlns:a16="http://schemas.microsoft.com/office/drawing/2014/main" id="{00000000-0008-0000-0300-0000A8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9" name="Rectangle 331">
            <a:extLst>
              <a:ext uri="{FF2B5EF4-FFF2-40B4-BE49-F238E27FC236}">
                <a16:creationId xmlns:a16="http://schemas.microsoft.com/office/drawing/2014/main" id="{00000000-0008-0000-0300-0000A9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0" name="Line 332">
            <a:extLst>
              <a:ext uri="{FF2B5EF4-FFF2-40B4-BE49-F238E27FC236}">
                <a16:creationId xmlns:a16="http://schemas.microsoft.com/office/drawing/2014/main" id="{00000000-0008-0000-0300-0000AA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483696</xdr:colOff>
      <xdr:row>12</xdr:row>
      <xdr:rowOff>54121</xdr:rowOff>
    </xdr:from>
    <xdr:to>
      <xdr:col>7</xdr:col>
      <xdr:colOff>83818</xdr:colOff>
      <xdr:row>15</xdr:row>
      <xdr:rowOff>33326</xdr:rowOff>
    </xdr:to>
    <xdr:cxnSp macro="">
      <xdr:nvCxnSpPr>
        <xdr:cNvPr id="171" name="Elbow Connector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CxnSpPr>
          <a:stCxn id="165" idx="0"/>
          <a:endCxn id="184" idx="5"/>
        </xdr:cNvCxnSpPr>
      </xdr:nvCxnSpPr>
      <xdr:spPr>
        <a:xfrm rot="5400000" flipH="1" flipV="1">
          <a:off x="4732804" y="2472513"/>
          <a:ext cx="550705" cy="142892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16</xdr:row>
      <xdr:rowOff>95250</xdr:rowOff>
    </xdr:from>
    <xdr:to>
      <xdr:col>4</xdr:col>
      <xdr:colOff>397775</xdr:colOff>
      <xdr:row>16</xdr:row>
      <xdr:rowOff>97276</xdr:rowOff>
    </xdr:to>
    <xdr:cxnSp macro="">
      <xdr:nvCxnSpPr>
        <xdr:cNvPr id="172" name="Elbow Connector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CxnSpPr>
          <a:endCxn id="168" idx="1"/>
        </xdr:cNvCxnSpPr>
      </xdr:nvCxnSpPr>
      <xdr:spPr>
        <a:xfrm>
          <a:off x="2914650" y="3714750"/>
          <a:ext cx="1293125" cy="202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357342</xdr:colOff>
      <xdr:row>21</xdr:row>
      <xdr:rowOff>71426</xdr:rowOff>
    </xdr:from>
    <xdr:to>
      <xdr:col>4</xdr:col>
      <xdr:colOff>604992</xdr:colOff>
      <xdr:row>24</xdr:row>
      <xdr:rowOff>61901</xdr:rowOff>
    </xdr:to>
    <xdr:grpSp>
      <xdr:nvGrpSpPr>
        <xdr:cNvPr id="173" name="Group 32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GrpSpPr>
          <a:grpSpLocks/>
        </xdr:cNvGrpSpPr>
      </xdr:nvGrpSpPr>
      <xdr:grpSpPr bwMode="auto">
        <a:xfrm>
          <a:off x="2300442" y="4071926"/>
          <a:ext cx="247650" cy="561975"/>
          <a:chOff x="2255" y="45"/>
          <a:chExt cx="49" cy="180"/>
        </a:xfrm>
      </xdr:grpSpPr>
      <xdr:sp macro="" textlink="">
        <xdr:nvSpPr>
          <xdr:cNvPr id="174" name="Oval 327">
            <a:extLst>
              <a:ext uri="{FF2B5EF4-FFF2-40B4-BE49-F238E27FC236}">
                <a16:creationId xmlns:a16="http://schemas.microsoft.com/office/drawing/2014/main" id="{00000000-0008-0000-0300-0000AE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5" name="Rectangle 328">
            <a:extLst>
              <a:ext uri="{FF2B5EF4-FFF2-40B4-BE49-F238E27FC236}">
                <a16:creationId xmlns:a16="http://schemas.microsoft.com/office/drawing/2014/main" id="{00000000-0008-0000-0300-0000AF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6" name="Oval 329">
            <a:extLst>
              <a:ext uri="{FF2B5EF4-FFF2-40B4-BE49-F238E27FC236}">
                <a16:creationId xmlns:a16="http://schemas.microsoft.com/office/drawing/2014/main" id="{00000000-0008-0000-0300-0000B0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7" name="Rectangle 330">
            <a:extLst>
              <a:ext uri="{FF2B5EF4-FFF2-40B4-BE49-F238E27FC236}">
                <a16:creationId xmlns:a16="http://schemas.microsoft.com/office/drawing/2014/main" id="{00000000-0008-0000-0300-0000B1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8" name="Rectangle 331">
            <a:extLst>
              <a:ext uri="{FF2B5EF4-FFF2-40B4-BE49-F238E27FC236}">
                <a16:creationId xmlns:a16="http://schemas.microsoft.com/office/drawing/2014/main" id="{00000000-0008-0000-0300-0000B2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9" name="Line 332">
            <a:extLst>
              <a:ext uri="{FF2B5EF4-FFF2-40B4-BE49-F238E27FC236}">
                <a16:creationId xmlns:a16="http://schemas.microsoft.com/office/drawing/2014/main" id="{00000000-0008-0000-0300-0000B3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483695</xdr:colOff>
      <xdr:row>12</xdr:row>
      <xdr:rowOff>66676</xdr:rowOff>
    </xdr:from>
    <xdr:to>
      <xdr:col>7</xdr:col>
      <xdr:colOff>123444</xdr:colOff>
      <xdr:row>21</xdr:row>
      <xdr:rowOff>71427</xdr:rowOff>
    </xdr:to>
    <xdr:cxnSp macro="">
      <xdr:nvCxnSpPr>
        <xdr:cNvPr id="180" name="Elbow Connector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CxnSpPr>
          <a:stCxn id="174" idx="0"/>
          <a:endCxn id="185" idx="2"/>
        </xdr:cNvCxnSpPr>
      </xdr:nvCxnSpPr>
      <xdr:spPr>
        <a:xfrm rot="5400000" flipH="1" flipV="1">
          <a:off x="4168344" y="3049527"/>
          <a:ext cx="1719251" cy="1468549"/>
        </a:xfrm>
        <a:prstGeom prst="bentConnector3">
          <a:avLst>
            <a:gd name="adj1" fmla="val 12881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22</xdr:row>
      <xdr:rowOff>133350</xdr:rowOff>
    </xdr:from>
    <xdr:to>
      <xdr:col>4</xdr:col>
      <xdr:colOff>397775</xdr:colOff>
      <xdr:row>22</xdr:row>
      <xdr:rowOff>135376</xdr:rowOff>
    </xdr:to>
    <xdr:cxnSp macro="">
      <xdr:nvCxnSpPr>
        <xdr:cNvPr id="181" name="Elbow Connector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CxnSpPr>
          <a:endCxn id="177" idx="1"/>
        </xdr:cNvCxnSpPr>
      </xdr:nvCxnSpPr>
      <xdr:spPr>
        <a:xfrm>
          <a:off x="2914650" y="4895850"/>
          <a:ext cx="1293125" cy="202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11</xdr:row>
      <xdr:rowOff>171450</xdr:rowOff>
    </xdr:from>
    <xdr:to>
      <xdr:col>7</xdr:col>
      <xdr:colOff>190500</xdr:colOff>
      <xdr:row>12</xdr:row>
      <xdr:rowOff>66675</xdr:rowOff>
    </xdr:to>
    <xdr:grpSp>
      <xdr:nvGrpSpPr>
        <xdr:cNvPr id="182" name="Group 322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GrpSpPr>
          <a:grpSpLocks/>
        </xdr:cNvGrpSpPr>
      </xdr:nvGrpSpPr>
      <xdr:grpSpPr bwMode="auto">
        <a:xfrm>
          <a:off x="3829050" y="2266950"/>
          <a:ext cx="133350" cy="85725"/>
          <a:chOff x="2933" y="2069"/>
          <a:chExt cx="175" cy="59"/>
        </a:xfrm>
      </xdr:grpSpPr>
      <xdr:sp macro="" textlink="">
        <xdr:nvSpPr>
          <xdr:cNvPr id="183" name="Oval 323">
            <a:extLst>
              <a:ext uri="{FF2B5EF4-FFF2-40B4-BE49-F238E27FC236}">
                <a16:creationId xmlns:a16="http://schemas.microsoft.com/office/drawing/2014/main" id="{00000000-0008-0000-0300-0000B7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" name="Oval 324">
            <a:extLst>
              <a:ext uri="{FF2B5EF4-FFF2-40B4-BE49-F238E27FC236}">
                <a16:creationId xmlns:a16="http://schemas.microsoft.com/office/drawing/2014/main" id="{00000000-0008-0000-0300-0000B8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5" name="Rectangle 325">
            <a:extLst>
              <a:ext uri="{FF2B5EF4-FFF2-40B4-BE49-F238E27FC236}">
                <a16:creationId xmlns:a16="http://schemas.microsoft.com/office/drawing/2014/main" id="{00000000-0008-0000-0300-0000B9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447676</xdr:colOff>
      <xdr:row>12</xdr:row>
      <xdr:rowOff>142875</xdr:rowOff>
    </xdr:from>
    <xdr:to>
      <xdr:col>5</xdr:col>
      <xdr:colOff>552451</xdr:colOff>
      <xdr:row>14</xdr:row>
      <xdr:rowOff>23283</xdr:rowOff>
    </xdr:to>
    <xdr:grpSp>
      <xdr:nvGrpSpPr>
        <xdr:cNvPr id="195" name="Group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GrpSpPr/>
      </xdr:nvGrpSpPr>
      <xdr:grpSpPr>
        <a:xfrm rot="16200000">
          <a:off x="2922060" y="2507191"/>
          <a:ext cx="261408" cy="104775"/>
          <a:chOff x="1247775" y="900113"/>
          <a:chExt cx="352426" cy="142875"/>
        </a:xfrm>
      </xdr:grpSpPr>
      <xdr:cxnSp macro="">
        <xdr:nvCxnSpPr>
          <xdr:cNvPr id="196" name="Straight Connector 195">
            <a:extLst>
              <a:ext uri="{FF2B5EF4-FFF2-40B4-BE49-F238E27FC236}">
                <a16:creationId xmlns:a16="http://schemas.microsoft.com/office/drawing/2014/main" id="{00000000-0008-0000-0300-0000C4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7" name="Straight Connector 196">
            <a:extLst>
              <a:ext uri="{FF2B5EF4-FFF2-40B4-BE49-F238E27FC236}">
                <a16:creationId xmlns:a16="http://schemas.microsoft.com/office/drawing/2014/main" id="{00000000-0008-0000-0300-0000C5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8" name="Oval 197">
            <a:extLst>
              <a:ext uri="{FF2B5EF4-FFF2-40B4-BE49-F238E27FC236}">
                <a16:creationId xmlns:a16="http://schemas.microsoft.com/office/drawing/2014/main" id="{00000000-0008-0000-0300-0000C6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99" name="Straight Connector 198">
            <a:extLst>
              <a:ext uri="{FF2B5EF4-FFF2-40B4-BE49-F238E27FC236}">
                <a16:creationId xmlns:a16="http://schemas.microsoft.com/office/drawing/2014/main" id="{00000000-0008-0000-0300-0000C7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400051</xdr:colOff>
      <xdr:row>19</xdr:row>
      <xdr:rowOff>38100</xdr:rowOff>
    </xdr:from>
    <xdr:to>
      <xdr:col>5</xdr:col>
      <xdr:colOff>504826</xdr:colOff>
      <xdr:row>20</xdr:row>
      <xdr:rowOff>109008</xdr:rowOff>
    </xdr:to>
    <xdr:grpSp>
      <xdr:nvGrpSpPr>
        <xdr:cNvPr id="200" name="Group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GrpSpPr/>
      </xdr:nvGrpSpPr>
      <xdr:grpSpPr>
        <a:xfrm rot="16200000">
          <a:off x="2874435" y="3735916"/>
          <a:ext cx="261408" cy="104775"/>
          <a:chOff x="1247775" y="900113"/>
          <a:chExt cx="352426" cy="142875"/>
        </a:xfrm>
      </xdr:grpSpPr>
      <xdr:cxnSp macro="">
        <xdr:nvCxnSpPr>
          <xdr:cNvPr id="201" name="Straight Connector 200">
            <a:extLst>
              <a:ext uri="{FF2B5EF4-FFF2-40B4-BE49-F238E27FC236}">
                <a16:creationId xmlns:a16="http://schemas.microsoft.com/office/drawing/2014/main" id="{00000000-0008-0000-0300-0000C9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2" name="Straight Connector 201">
            <a:extLst>
              <a:ext uri="{FF2B5EF4-FFF2-40B4-BE49-F238E27FC236}">
                <a16:creationId xmlns:a16="http://schemas.microsoft.com/office/drawing/2014/main" id="{00000000-0008-0000-0300-0000CA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3" name="Oval 20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04" name="Straight Connector 20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</xdr:colOff>
      <xdr:row>9</xdr:row>
      <xdr:rowOff>0</xdr:rowOff>
    </xdr:from>
    <xdr:to>
      <xdr:col>11</xdr:col>
      <xdr:colOff>190501</xdr:colOff>
      <xdr:row>17</xdr:row>
      <xdr:rowOff>142875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>
        <a:xfrm>
          <a:off x="6248401" y="2286000"/>
          <a:ext cx="2019300" cy="1666875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238125</xdr:colOff>
      <xdr:row>10</xdr:row>
      <xdr:rowOff>66675</xdr:rowOff>
    </xdr:from>
    <xdr:to>
      <xdr:col>7</xdr:col>
      <xdr:colOff>448290</xdr:colOff>
      <xdr:row>11</xdr:row>
      <xdr:rowOff>97401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5876925" y="1971675"/>
          <a:ext cx="210165" cy="22122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2</a:t>
          </a:r>
        </a:p>
        <a:p>
          <a:pPr algn="l"/>
          <a:endParaRPr lang="en-US" sz="1100"/>
        </a:p>
      </xdr:txBody>
    </xdr:sp>
    <xdr:clientData/>
  </xdr:twoCellAnchor>
  <xdr:twoCellAnchor>
    <xdr:from>
      <xdr:col>13</xdr:col>
      <xdr:colOff>419100</xdr:colOff>
      <xdr:row>11</xdr:row>
      <xdr:rowOff>171450</xdr:rowOff>
    </xdr:from>
    <xdr:to>
      <xdr:col>14</xdr:col>
      <xdr:colOff>24581</xdr:colOff>
      <xdr:row>13</xdr:row>
      <xdr:rowOff>7579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7848600" y="22669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10</a:t>
          </a:r>
          <a:endParaRPr lang="en-US" sz="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18</xdr:row>
      <xdr:rowOff>95250</xdr:rowOff>
    </xdr:from>
    <xdr:to>
      <xdr:col>6</xdr:col>
      <xdr:colOff>381000</xdr:colOff>
      <xdr:row>23</xdr:row>
      <xdr:rowOff>133350</xdr:rowOff>
    </xdr:to>
    <xdr:sp macro="" textlink="">
      <xdr:nvSpPr>
        <xdr:cNvPr id="153" name="Rectangle 587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 bwMode="auto">
        <a:xfrm>
          <a:off x="3429000" y="3333750"/>
          <a:ext cx="152400" cy="990600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454545" mc:Ignorable="a14" a14:legacySpreadsheetColorIndex="5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69696" mc:Ignorable="a14" a14:legacySpreadsheetColorIndex="55"/>
            </a:gs>
            <a:gs pos="100000">
              <a:srgbClr xmlns:mc="http://schemas.openxmlformats.org/markup-compatibility/2006" xmlns:a14="http://schemas.microsoft.com/office/drawing/2010/main" val="454545" mc:Ignorable="a14" a14:legacySpreadsheetColorIndex="55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457200</xdr:colOff>
      <xdr:row>8</xdr:row>
      <xdr:rowOff>9525</xdr:rowOff>
    </xdr:from>
    <xdr:to>
      <xdr:col>8</xdr:col>
      <xdr:colOff>95250</xdr:colOff>
      <xdr:row>11</xdr:row>
      <xdr:rowOff>0</xdr:rowOff>
    </xdr:to>
    <xdr:grpSp>
      <xdr:nvGrpSpPr>
        <xdr:cNvPr id="2" name="Group 32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4267200" y="1533525"/>
          <a:ext cx="247650" cy="561975"/>
          <a:chOff x="2255" y="45"/>
          <a:chExt cx="49" cy="180"/>
        </a:xfrm>
      </xdr:grpSpPr>
      <xdr:sp macro="" textlink="">
        <xdr:nvSpPr>
          <xdr:cNvPr id="3" name="Oval 327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32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Oval 329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Rectangle 330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Rectangle 33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332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152400</xdr:colOff>
      <xdr:row>20</xdr:row>
      <xdr:rowOff>9525</xdr:rowOff>
    </xdr:from>
    <xdr:to>
      <xdr:col>9</xdr:col>
      <xdr:colOff>152400</xdr:colOff>
      <xdr:row>24</xdr:row>
      <xdr:rowOff>95250</xdr:rowOff>
    </xdr:to>
    <xdr:grpSp>
      <xdr:nvGrpSpPr>
        <xdr:cNvPr id="9" name="Group 59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572000" y="3819525"/>
          <a:ext cx="609600" cy="847725"/>
          <a:chOff x="997" y="134"/>
          <a:chExt cx="143" cy="138"/>
        </a:xfrm>
      </xdr:grpSpPr>
      <xdr:sp macro="" textlink="">
        <xdr:nvSpPr>
          <xdr:cNvPr id="10" name="Rectangle 587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AutoShape 59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247650</xdr:colOff>
      <xdr:row>8</xdr:row>
      <xdr:rowOff>63500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5029200" y="1333500"/>
          <a:ext cx="247650" cy="254000"/>
          <a:chOff x="7924800" y="3089275"/>
          <a:chExt cx="431800" cy="473075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15" name="Line 11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6" name="Line 111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7" name="Line 112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>
            <a:stCxn id="14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247650</xdr:colOff>
      <xdr:row>8</xdr:row>
      <xdr:rowOff>63500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/>
      </xdr:nvGrpSpPr>
      <xdr:grpSpPr>
        <a:xfrm>
          <a:off x="6248400" y="1333500"/>
          <a:ext cx="247650" cy="254000"/>
          <a:chOff x="7924800" y="3089275"/>
          <a:chExt cx="431800" cy="473075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3" name="Line 110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4" name="Line 111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5" name="Line 112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CxnSpPr>
            <a:stCxn id="22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7</xdr:row>
      <xdr:rowOff>0</xdr:rowOff>
    </xdr:from>
    <xdr:to>
      <xdr:col>13</xdr:col>
      <xdr:colOff>247650</xdr:colOff>
      <xdr:row>8</xdr:row>
      <xdr:rowOff>63500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7467600" y="1333500"/>
          <a:ext cx="247650" cy="254000"/>
          <a:chOff x="7924800" y="3089275"/>
          <a:chExt cx="431800" cy="473075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1" name="Line 1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2" name="Line 1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3" name="Line 112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CxnSpPr>
            <a:stCxn id="30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247650</xdr:colOff>
      <xdr:row>10</xdr:row>
      <xdr:rowOff>180975</xdr:rowOff>
    </xdr:to>
    <xdr:grpSp>
      <xdr:nvGrpSpPr>
        <xdr:cNvPr id="36" name="Group 3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pSpPr>
          <a:grpSpLocks/>
        </xdr:cNvGrpSpPr>
      </xdr:nvGrpSpPr>
      <xdr:grpSpPr bwMode="auto">
        <a:xfrm>
          <a:off x="5638800" y="1524000"/>
          <a:ext cx="247650" cy="561975"/>
          <a:chOff x="2255" y="45"/>
          <a:chExt cx="49" cy="180"/>
        </a:xfrm>
      </xdr:grpSpPr>
      <xdr:sp macro="" textlink="">
        <xdr:nvSpPr>
          <xdr:cNvPr id="37" name="Oval 327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8" name="Rectangle 328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9" name="Oval 329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0" name="Rectangle 330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" name="Rectangle 331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2" name="Line 332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247650</xdr:colOff>
      <xdr:row>10</xdr:row>
      <xdr:rowOff>180975</xdr:rowOff>
    </xdr:to>
    <xdr:grpSp>
      <xdr:nvGrpSpPr>
        <xdr:cNvPr id="43" name="Group 32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GrpSpPr>
          <a:grpSpLocks/>
        </xdr:cNvGrpSpPr>
      </xdr:nvGrpSpPr>
      <xdr:grpSpPr bwMode="auto">
        <a:xfrm>
          <a:off x="6858000" y="1524000"/>
          <a:ext cx="247650" cy="561975"/>
          <a:chOff x="2255" y="45"/>
          <a:chExt cx="49" cy="180"/>
        </a:xfrm>
      </xdr:grpSpPr>
      <xdr:sp macro="" textlink="">
        <xdr:nvSpPr>
          <xdr:cNvPr id="44" name="Oval 327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" name="Rectangle 328"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6" name="Oval 329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7" name="Rectangle 330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8" name="Rectangle 331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Line 332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583552</xdr:colOff>
      <xdr:row>7</xdr:row>
      <xdr:rowOff>80974</xdr:rowOff>
    </xdr:from>
    <xdr:to>
      <xdr:col>8</xdr:col>
      <xdr:colOff>609599</xdr:colOff>
      <xdr:row>8</xdr:row>
      <xdr:rowOff>9526</xdr:rowOff>
    </xdr:to>
    <xdr:cxnSp macro="">
      <xdr:nvCxnSpPr>
        <xdr:cNvPr id="50" name="Elbow Connector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CxnSpPr>
          <a:stCxn id="3" idx="0"/>
          <a:endCxn id="14" idx="1"/>
        </xdr:cNvCxnSpPr>
      </xdr:nvCxnSpPr>
      <xdr:spPr>
        <a:xfrm rot="5400000" flipH="1" flipV="1">
          <a:off x="4651850" y="965676"/>
          <a:ext cx="119052" cy="6356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7</xdr:row>
      <xdr:rowOff>0</xdr:rowOff>
    </xdr:from>
    <xdr:to>
      <xdr:col>10</xdr:col>
      <xdr:colOff>40433</xdr:colOff>
      <xdr:row>9</xdr:row>
      <xdr:rowOff>63950</xdr:rowOff>
    </xdr:to>
    <xdr:cxnSp macro="">
      <xdr:nvCxnSpPr>
        <xdr:cNvPr id="51" name="Elbow Connector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>
          <a:stCxn id="14" idx="0"/>
          <a:endCxn id="40" idx="1"/>
        </xdr:cNvCxnSpPr>
      </xdr:nvCxnSpPr>
      <xdr:spPr>
        <a:xfrm rot="16200000" flipH="1">
          <a:off x="5193654" y="1102371"/>
          <a:ext cx="444950" cy="526208"/>
        </a:xfrm>
        <a:prstGeom prst="bentConnector4">
          <a:avLst>
            <a:gd name="adj1" fmla="val -51377"/>
            <a:gd name="adj2" fmla="val 6176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126353</xdr:colOff>
      <xdr:row>7</xdr:row>
      <xdr:rowOff>80974</xdr:rowOff>
    </xdr:from>
    <xdr:to>
      <xdr:col>11</xdr:col>
      <xdr:colOff>0</xdr:colOff>
      <xdr:row>8</xdr:row>
      <xdr:rowOff>1</xdr:rowOff>
    </xdr:to>
    <xdr:cxnSp macro="">
      <xdr:nvCxnSpPr>
        <xdr:cNvPr id="52" name="Elbow Connector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CxnSpPr>
          <a:stCxn id="37" idx="0"/>
          <a:endCxn id="22" idx="1"/>
        </xdr:cNvCxnSpPr>
      </xdr:nvCxnSpPr>
      <xdr:spPr>
        <a:xfrm rot="5400000" flipH="1" flipV="1">
          <a:off x="5952013" y="1037114"/>
          <a:ext cx="109527" cy="4832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7</xdr:row>
      <xdr:rowOff>0</xdr:rowOff>
    </xdr:from>
    <xdr:to>
      <xdr:col>12</xdr:col>
      <xdr:colOff>40433</xdr:colOff>
      <xdr:row>9</xdr:row>
      <xdr:rowOff>63950</xdr:rowOff>
    </xdr:to>
    <xdr:cxnSp macro="">
      <xdr:nvCxnSpPr>
        <xdr:cNvPr id="53" name="Elbow Connector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CxnSpPr>
          <a:stCxn id="22" idx="0"/>
          <a:endCxn id="47" idx="1"/>
        </xdr:cNvCxnSpPr>
      </xdr:nvCxnSpPr>
      <xdr:spPr>
        <a:xfrm rot="16200000" flipH="1">
          <a:off x="6412854" y="1102371"/>
          <a:ext cx="444950" cy="526208"/>
        </a:xfrm>
        <a:prstGeom prst="bentConnector4">
          <a:avLst>
            <a:gd name="adj1" fmla="val -51377"/>
            <a:gd name="adj2" fmla="val 6176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126353</xdr:colOff>
      <xdr:row>7</xdr:row>
      <xdr:rowOff>80974</xdr:rowOff>
    </xdr:from>
    <xdr:to>
      <xdr:col>13</xdr:col>
      <xdr:colOff>0</xdr:colOff>
      <xdr:row>8</xdr:row>
      <xdr:rowOff>1</xdr:rowOff>
    </xdr:to>
    <xdr:cxnSp macro="">
      <xdr:nvCxnSpPr>
        <xdr:cNvPr id="54" name="Elbow Connector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CxnSpPr>
          <a:stCxn id="44" idx="0"/>
          <a:endCxn id="30" idx="1"/>
        </xdr:cNvCxnSpPr>
      </xdr:nvCxnSpPr>
      <xdr:spPr>
        <a:xfrm rot="5400000" flipH="1" flipV="1">
          <a:off x="7171213" y="1037114"/>
          <a:ext cx="109527" cy="4832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561975</xdr:colOff>
      <xdr:row>4</xdr:row>
      <xdr:rowOff>76200</xdr:rowOff>
    </xdr:from>
    <xdr:to>
      <xdr:col>15</xdr:col>
      <xdr:colOff>133350</xdr:colOff>
      <xdr:row>5</xdr:row>
      <xdr:rowOff>142875</xdr:rowOff>
    </xdr:to>
    <xdr:grpSp>
      <xdr:nvGrpSpPr>
        <xdr:cNvPr id="55" name="Group 9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GrpSpPr>
          <a:grpSpLocks/>
        </xdr:cNvGrpSpPr>
      </xdr:nvGrpSpPr>
      <xdr:grpSpPr bwMode="auto">
        <a:xfrm flipH="1">
          <a:off x="8029575" y="838200"/>
          <a:ext cx="790575" cy="257175"/>
          <a:chOff x="982" y="878"/>
          <a:chExt cx="215" cy="70"/>
        </a:xfrm>
      </xdr:grpSpPr>
      <xdr:grpSp>
        <xdr:nvGrpSpPr>
          <xdr:cNvPr id="56" name="Group 92"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58" name="Group 93">
              <a:extLst>
                <a:ext uri="{FF2B5EF4-FFF2-40B4-BE49-F238E27FC236}">
                  <a16:creationId xmlns:a16="http://schemas.microsoft.com/office/drawing/2014/main" id="{00000000-0008-0000-0400-00003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74" name="Group 94">
                <a:extLst>
                  <a:ext uri="{FF2B5EF4-FFF2-40B4-BE49-F238E27FC236}">
                    <a16:creationId xmlns:a16="http://schemas.microsoft.com/office/drawing/2014/main" id="{00000000-0008-0000-0400-00004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106" name="Group 95">
                  <a:extLst>
                    <a:ext uri="{FF2B5EF4-FFF2-40B4-BE49-F238E27FC236}">
                      <a16:creationId xmlns:a16="http://schemas.microsoft.com/office/drawing/2014/main" id="{00000000-0008-0000-0400-00006A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6" name="Line 96">
                    <a:extLst>
                      <a:ext uri="{FF2B5EF4-FFF2-40B4-BE49-F238E27FC236}">
                        <a16:creationId xmlns:a16="http://schemas.microsoft.com/office/drawing/2014/main" id="{00000000-0008-0000-0400-00007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7" name="Line 97">
                    <a:extLst>
                      <a:ext uri="{FF2B5EF4-FFF2-40B4-BE49-F238E27FC236}">
                        <a16:creationId xmlns:a16="http://schemas.microsoft.com/office/drawing/2014/main" id="{00000000-0008-0000-0400-00007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07" name="Group 98">
                  <a:extLst>
                    <a:ext uri="{FF2B5EF4-FFF2-40B4-BE49-F238E27FC236}">
                      <a16:creationId xmlns:a16="http://schemas.microsoft.com/office/drawing/2014/main" id="{00000000-0008-0000-0400-00006B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4" name="Line 99">
                    <a:extLst>
                      <a:ext uri="{FF2B5EF4-FFF2-40B4-BE49-F238E27FC236}">
                        <a16:creationId xmlns:a16="http://schemas.microsoft.com/office/drawing/2014/main" id="{00000000-0008-0000-0400-00007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5" name="Line 100">
                    <a:extLst>
                      <a:ext uri="{FF2B5EF4-FFF2-40B4-BE49-F238E27FC236}">
                        <a16:creationId xmlns:a16="http://schemas.microsoft.com/office/drawing/2014/main" id="{00000000-0008-0000-0400-00007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08" name="Group 101">
                  <a:extLst>
                    <a:ext uri="{FF2B5EF4-FFF2-40B4-BE49-F238E27FC236}">
                      <a16:creationId xmlns:a16="http://schemas.microsoft.com/office/drawing/2014/main" id="{00000000-0008-0000-0400-00006C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2" name="Line 102">
                    <a:extLst>
                      <a:ext uri="{FF2B5EF4-FFF2-40B4-BE49-F238E27FC236}">
                        <a16:creationId xmlns:a16="http://schemas.microsoft.com/office/drawing/2014/main" id="{00000000-0008-0000-0400-00007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3" name="Line 103">
                    <a:extLst>
                      <a:ext uri="{FF2B5EF4-FFF2-40B4-BE49-F238E27FC236}">
                        <a16:creationId xmlns:a16="http://schemas.microsoft.com/office/drawing/2014/main" id="{00000000-0008-0000-0400-00007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09" name="Group 104">
                  <a:extLst>
                    <a:ext uri="{FF2B5EF4-FFF2-40B4-BE49-F238E27FC236}">
                      <a16:creationId xmlns:a16="http://schemas.microsoft.com/office/drawing/2014/main" id="{00000000-0008-0000-0400-00006D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0" name="Line 105">
                    <a:extLst>
                      <a:ext uri="{FF2B5EF4-FFF2-40B4-BE49-F238E27FC236}">
                        <a16:creationId xmlns:a16="http://schemas.microsoft.com/office/drawing/2014/main" id="{00000000-0008-0000-0400-00006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1" name="Line 106">
                    <a:extLst>
                      <a:ext uri="{FF2B5EF4-FFF2-40B4-BE49-F238E27FC236}">
                        <a16:creationId xmlns:a16="http://schemas.microsoft.com/office/drawing/2014/main" id="{00000000-0008-0000-0400-00006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75" name="Group 74">
                <a:extLst>
                  <a:ext uri="{FF2B5EF4-FFF2-40B4-BE49-F238E27FC236}">
                    <a16:creationId xmlns:a16="http://schemas.microsoft.com/office/drawing/2014/main" id="{00000000-0008-0000-0400-00004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94" name="Group 108">
                  <a:extLst>
                    <a:ext uri="{FF2B5EF4-FFF2-40B4-BE49-F238E27FC236}">
                      <a16:creationId xmlns:a16="http://schemas.microsoft.com/office/drawing/2014/main" id="{00000000-0008-0000-0400-00005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4" name="Line 109">
                    <a:extLst>
                      <a:ext uri="{FF2B5EF4-FFF2-40B4-BE49-F238E27FC236}">
                        <a16:creationId xmlns:a16="http://schemas.microsoft.com/office/drawing/2014/main" id="{00000000-0008-0000-0400-00006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5" name="Line 110">
                    <a:extLst>
                      <a:ext uri="{FF2B5EF4-FFF2-40B4-BE49-F238E27FC236}">
                        <a16:creationId xmlns:a16="http://schemas.microsoft.com/office/drawing/2014/main" id="{00000000-0008-0000-0400-00006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5" name="Group 111">
                  <a:extLst>
                    <a:ext uri="{FF2B5EF4-FFF2-40B4-BE49-F238E27FC236}">
                      <a16:creationId xmlns:a16="http://schemas.microsoft.com/office/drawing/2014/main" id="{00000000-0008-0000-0400-00005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2" name="Line 112">
                    <a:extLst>
                      <a:ext uri="{FF2B5EF4-FFF2-40B4-BE49-F238E27FC236}">
                        <a16:creationId xmlns:a16="http://schemas.microsoft.com/office/drawing/2014/main" id="{00000000-0008-0000-0400-00006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3" name="Line 113">
                    <a:extLst>
                      <a:ext uri="{FF2B5EF4-FFF2-40B4-BE49-F238E27FC236}">
                        <a16:creationId xmlns:a16="http://schemas.microsoft.com/office/drawing/2014/main" id="{00000000-0008-0000-0400-00006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6" name="Group 114">
                  <a:extLst>
                    <a:ext uri="{FF2B5EF4-FFF2-40B4-BE49-F238E27FC236}">
                      <a16:creationId xmlns:a16="http://schemas.microsoft.com/office/drawing/2014/main" id="{00000000-0008-0000-0400-000060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0" name="Line 115">
                    <a:extLst>
                      <a:ext uri="{FF2B5EF4-FFF2-40B4-BE49-F238E27FC236}">
                        <a16:creationId xmlns:a16="http://schemas.microsoft.com/office/drawing/2014/main" id="{00000000-0008-0000-0400-00006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1" name="Line 116">
                    <a:extLst>
                      <a:ext uri="{FF2B5EF4-FFF2-40B4-BE49-F238E27FC236}">
                        <a16:creationId xmlns:a16="http://schemas.microsoft.com/office/drawing/2014/main" id="{00000000-0008-0000-0400-00006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7" name="Group 117">
                  <a:extLst>
                    <a:ext uri="{FF2B5EF4-FFF2-40B4-BE49-F238E27FC236}">
                      <a16:creationId xmlns:a16="http://schemas.microsoft.com/office/drawing/2014/main" id="{00000000-0008-0000-0400-00006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98" name="Line 118">
                    <a:extLst>
                      <a:ext uri="{FF2B5EF4-FFF2-40B4-BE49-F238E27FC236}">
                        <a16:creationId xmlns:a16="http://schemas.microsoft.com/office/drawing/2014/main" id="{00000000-0008-0000-0400-00006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9" name="Line 119">
                    <a:extLst>
                      <a:ext uri="{FF2B5EF4-FFF2-40B4-BE49-F238E27FC236}">
                        <a16:creationId xmlns:a16="http://schemas.microsoft.com/office/drawing/2014/main" id="{00000000-0008-0000-0400-00006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76" name="Group 120">
                <a:extLst>
                  <a:ext uri="{FF2B5EF4-FFF2-40B4-BE49-F238E27FC236}">
                    <a16:creationId xmlns:a16="http://schemas.microsoft.com/office/drawing/2014/main" id="{00000000-0008-0000-0400-00004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78" name="Group 121">
                  <a:extLst>
                    <a:ext uri="{FF2B5EF4-FFF2-40B4-BE49-F238E27FC236}">
                      <a16:creationId xmlns:a16="http://schemas.microsoft.com/office/drawing/2014/main" id="{00000000-0008-0000-0400-00004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92" name="Line 122">
                    <a:extLst>
                      <a:ext uri="{FF2B5EF4-FFF2-40B4-BE49-F238E27FC236}">
                        <a16:creationId xmlns:a16="http://schemas.microsoft.com/office/drawing/2014/main" id="{00000000-0008-0000-0400-00005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3" name="Line 123">
                    <a:extLst>
                      <a:ext uri="{FF2B5EF4-FFF2-40B4-BE49-F238E27FC236}">
                        <a16:creationId xmlns:a16="http://schemas.microsoft.com/office/drawing/2014/main" id="{00000000-0008-0000-0400-00005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79" name="Group 124">
                  <a:extLst>
                    <a:ext uri="{FF2B5EF4-FFF2-40B4-BE49-F238E27FC236}">
                      <a16:creationId xmlns:a16="http://schemas.microsoft.com/office/drawing/2014/main" id="{00000000-0008-0000-0400-00004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90" name="Line 125">
                    <a:extLst>
                      <a:ext uri="{FF2B5EF4-FFF2-40B4-BE49-F238E27FC236}">
                        <a16:creationId xmlns:a16="http://schemas.microsoft.com/office/drawing/2014/main" id="{00000000-0008-0000-0400-00005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1" name="Line 126">
                    <a:extLst>
                      <a:ext uri="{FF2B5EF4-FFF2-40B4-BE49-F238E27FC236}">
                        <a16:creationId xmlns:a16="http://schemas.microsoft.com/office/drawing/2014/main" id="{00000000-0008-0000-0400-00005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80" name="Group 127">
                  <a:extLst>
                    <a:ext uri="{FF2B5EF4-FFF2-40B4-BE49-F238E27FC236}">
                      <a16:creationId xmlns:a16="http://schemas.microsoft.com/office/drawing/2014/main" id="{00000000-0008-0000-0400-000050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88" name="Line 128">
                    <a:extLst>
                      <a:ext uri="{FF2B5EF4-FFF2-40B4-BE49-F238E27FC236}">
                        <a16:creationId xmlns:a16="http://schemas.microsoft.com/office/drawing/2014/main" id="{00000000-0008-0000-0400-00005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89" name="Line 129">
                    <a:extLst>
                      <a:ext uri="{FF2B5EF4-FFF2-40B4-BE49-F238E27FC236}">
                        <a16:creationId xmlns:a16="http://schemas.microsoft.com/office/drawing/2014/main" id="{00000000-0008-0000-0400-00005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81" name="Group 130">
                  <a:extLst>
                    <a:ext uri="{FF2B5EF4-FFF2-40B4-BE49-F238E27FC236}">
                      <a16:creationId xmlns:a16="http://schemas.microsoft.com/office/drawing/2014/main" id="{00000000-0008-0000-0400-00005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86" name="Line 131">
                    <a:extLst>
                      <a:ext uri="{FF2B5EF4-FFF2-40B4-BE49-F238E27FC236}">
                        <a16:creationId xmlns:a16="http://schemas.microsoft.com/office/drawing/2014/main" id="{00000000-0008-0000-0400-00005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87" name="Line 132">
                    <a:extLst>
                      <a:ext uri="{FF2B5EF4-FFF2-40B4-BE49-F238E27FC236}">
                        <a16:creationId xmlns:a16="http://schemas.microsoft.com/office/drawing/2014/main" id="{00000000-0008-0000-0400-00005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82" name="Group 133">
                  <a:extLst>
                    <a:ext uri="{FF2B5EF4-FFF2-40B4-BE49-F238E27FC236}">
                      <a16:creationId xmlns:a16="http://schemas.microsoft.com/office/drawing/2014/main" id="{00000000-0008-0000-0400-000052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84" name="Line 134">
                    <a:extLst>
                      <a:ext uri="{FF2B5EF4-FFF2-40B4-BE49-F238E27FC236}">
                        <a16:creationId xmlns:a16="http://schemas.microsoft.com/office/drawing/2014/main" id="{00000000-0008-0000-0400-00005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85" name="Line 135">
                    <a:extLst>
                      <a:ext uri="{FF2B5EF4-FFF2-40B4-BE49-F238E27FC236}">
                        <a16:creationId xmlns:a16="http://schemas.microsoft.com/office/drawing/2014/main" id="{00000000-0008-0000-0400-00005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83" name="Line 136">
                  <a:extLst>
                    <a:ext uri="{FF2B5EF4-FFF2-40B4-BE49-F238E27FC236}">
                      <a16:creationId xmlns:a16="http://schemas.microsoft.com/office/drawing/2014/main" id="{00000000-0008-0000-0400-00005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77" name="Line 137">
                <a:extLst>
                  <a:ext uri="{FF2B5EF4-FFF2-40B4-BE49-F238E27FC236}">
                    <a16:creationId xmlns:a16="http://schemas.microsoft.com/office/drawing/2014/main" id="{00000000-0008-0000-0400-00004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59" name="Group 138">
              <a:extLst>
                <a:ext uri="{FF2B5EF4-FFF2-40B4-BE49-F238E27FC236}">
                  <a16:creationId xmlns:a16="http://schemas.microsoft.com/office/drawing/2014/main" id="{00000000-0008-0000-0400-00003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60" name="Rectangle 139">
                <a:extLst>
                  <a:ext uri="{FF2B5EF4-FFF2-40B4-BE49-F238E27FC236}">
                    <a16:creationId xmlns:a16="http://schemas.microsoft.com/office/drawing/2014/main" id="{00000000-0008-0000-04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61" name="Group 140">
                <a:extLst>
                  <a:ext uri="{FF2B5EF4-FFF2-40B4-BE49-F238E27FC236}">
                    <a16:creationId xmlns:a16="http://schemas.microsoft.com/office/drawing/2014/main" id="{00000000-0008-0000-0400-00003D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62" name="Oval 141">
                  <a:extLst>
                    <a:ext uri="{FF2B5EF4-FFF2-40B4-BE49-F238E27FC236}">
                      <a16:creationId xmlns:a16="http://schemas.microsoft.com/office/drawing/2014/main" id="{00000000-0008-0000-0400-00003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  <a:gs pos="50000">
                      <a:srgbClr xmlns:mc="http://schemas.openxmlformats.org/markup-compatibility/2006" xmlns:a14="http://schemas.microsoft.com/office/drawing/2010/main" val="FFFFFF" mc:Ignorable="a14" a14:legacySpreadsheetColorIndex="9"/>
                    </a:gs>
                    <a:gs pos="10000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63" name="Group 142">
                  <a:extLst>
                    <a:ext uri="{FF2B5EF4-FFF2-40B4-BE49-F238E27FC236}">
                      <a16:creationId xmlns:a16="http://schemas.microsoft.com/office/drawing/2014/main" id="{00000000-0008-0000-0400-00003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68" name="Group 143">
                    <a:extLst>
                      <a:ext uri="{FF2B5EF4-FFF2-40B4-BE49-F238E27FC236}">
                        <a16:creationId xmlns:a16="http://schemas.microsoft.com/office/drawing/2014/main" id="{00000000-0008-0000-0400-000044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72" name="Oval 144">
                      <a:extLst>
                        <a:ext uri="{FF2B5EF4-FFF2-40B4-BE49-F238E27FC236}">
                          <a16:creationId xmlns:a16="http://schemas.microsoft.com/office/drawing/2014/main" id="{00000000-0008-0000-0400-000048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73" name="AutoShape 145">
                      <a:extLst>
                        <a:ext uri="{FF2B5EF4-FFF2-40B4-BE49-F238E27FC236}">
                          <a16:creationId xmlns:a16="http://schemas.microsoft.com/office/drawing/2014/main" id="{00000000-0008-0000-0400-000049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69" name="Group 146">
                    <a:extLst>
                      <a:ext uri="{FF2B5EF4-FFF2-40B4-BE49-F238E27FC236}">
                        <a16:creationId xmlns:a16="http://schemas.microsoft.com/office/drawing/2014/main" id="{00000000-0008-0000-0400-000045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70" name="Oval 147">
                      <a:extLst>
                        <a:ext uri="{FF2B5EF4-FFF2-40B4-BE49-F238E27FC236}">
                          <a16:creationId xmlns:a16="http://schemas.microsoft.com/office/drawing/2014/main" id="{00000000-0008-0000-0400-000046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71" name="AutoShape 148">
                      <a:extLst>
                        <a:ext uri="{FF2B5EF4-FFF2-40B4-BE49-F238E27FC236}">
                          <a16:creationId xmlns:a16="http://schemas.microsoft.com/office/drawing/2014/main" id="{00000000-0008-0000-0400-000047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64" name="Line 149">
                  <a:extLst>
                    <a:ext uri="{FF2B5EF4-FFF2-40B4-BE49-F238E27FC236}">
                      <a16:creationId xmlns:a16="http://schemas.microsoft.com/office/drawing/2014/main" id="{00000000-0008-0000-0400-00004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65" name="Group 150">
                  <a:extLst>
                    <a:ext uri="{FF2B5EF4-FFF2-40B4-BE49-F238E27FC236}">
                      <a16:creationId xmlns:a16="http://schemas.microsoft.com/office/drawing/2014/main" id="{00000000-0008-0000-0400-00004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66" name="Oval 151">
                    <a:extLst>
                      <a:ext uri="{FF2B5EF4-FFF2-40B4-BE49-F238E27FC236}">
                        <a16:creationId xmlns:a16="http://schemas.microsoft.com/office/drawing/2014/main" id="{00000000-0008-0000-0400-000042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67" name="Rectangle 152">
                    <a:extLst>
                      <a:ext uri="{FF2B5EF4-FFF2-40B4-BE49-F238E27FC236}">
                        <a16:creationId xmlns:a16="http://schemas.microsoft.com/office/drawing/2014/main" id="{00000000-0008-0000-0400-000043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57" name="Rectangle 153"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123825</xdr:colOff>
      <xdr:row>4</xdr:row>
      <xdr:rowOff>171722</xdr:rowOff>
    </xdr:from>
    <xdr:to>
      <xdr:col>14</xdr:col>
      <xdr:colOff>5693</xdr:colOff>
      <xdr:row>7</xdr:row>
      <xdr:rowOff>0</xdr:rowOff>
    </xdr:to>
    <xdr:cxnSp macro="">
      <xdr:nvCxnSpPr>
        <xdr:cNvPr id="118" name="Elbow Connector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CxnSpPr>
          <a:stCxn id="30" idx="0"/>
          <a:endCxn id="57" idx="2"/>
        </xdr:cNvCxnSpPr>
      </xdr:nvCxnSpPr>
      <xdr:spPr>
        <a:xfrm rot="5400000" flipH="1" flipV="1">
          <a:off x="7637270" y="697377"/>
          <a:ext cx="399778" cy="491468"/>
        </a:xfrm>
        <a:prstGeom prst="bentConnector3">
          <a:avLst>
            <a:gd name="adj1" fmla="val 6429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247650</xdr:colOff>
      <xdr:row>10</xdr:row>
      <xdr:rowOff>180975</xdr:rowOff>
    </xdr:to>
    <xdr:grpSp>
      <xdr:nvGrpSpPr>
        <xdr:cNvPr id="119" name="Group 326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GrpSpPr>
          <a:grpSpLocks/>
        </xdr:cNvGrpSpPr>
      </xdr:nvGrpSpPr>
      <xdr:grpSpPr bwMode="auto">
        <a:xfrm>
          <a:off x="9296400" y="1524000"/>
          <a:ext cx="247650" cy="561975"/>
          <a:chOff x="2255" y="45"/>
          <a:chExt cx="49" cy="180"/>
        </a:xfrm>
      </xdr:grpSpPr>
      <xdr:sp macro="" textlink="">
        <xdr:nvSpPr>
          <xdr:cNvPr id="120" name="Oval 327">
            <a:extLst>
              <a:ext uri="{FF2B5EF4-FFF2-40B4-BE49-F238E27FC236}">
                <a16:creationId xmlns:a16="http://schemas.microsoft.com/office/drawing/2014/main" id="{00000000-0008-0000-0400-000078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1" name="Rectangle 328">
            <a:extLst>
              <a:ext uri="{FF2B5EF4-FFF2-40B4-BE49-F238E27FC236}">
                <a16:creationId xmlns:a16="http://schemas.microsoft.com/office/drawing/2014/main" id="{00000000-0008-0000-0400-000079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2" name="Oval 329">
            <a:extLst>
              <a:ext uri="{FF2B5EF4-FFF2-40B4-BE49-F238E27FC236}">
                <a16:creationId xmlns:a16="http://schemas.microsoft.com/office/drawing/2014/main" id="{00000000-0008-0000-0400-00007A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3" name="Rectangle 330">
            <a:extLst>
              <a:ext uri="{FF2B5EF4-FFF2-40B4-BE49-F238E27FC236}">
                <a16:creationId xmlns:a16="http://schemas.microsoft.com/office/drawing/2014/main" id="{00000000-0008-0000-04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4" name="Rectangle 331">
            <a:extLst>
              <a:ext uri="{FF2B5EF4-FFF2-40B4-BE49-F238E27FC236}">
                <a16:creationId xmlns:a16="http://schemas.microsoft.com/office/drawing/2014/main" id="{00000000-0008-0000-0400-00007C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5" name="Line 332">
            <a:extLst>
              <a:ext uri="{FF2B5EF4-FFF2-40B4-BE49-F238E27FC236}">
                <a16:creationId xmlns:a16="http://schemas.microsoft.com/office/drawing/2014/main" id="{00000000-0008-0000-0400-00007D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5693</xdr:colOff>
      <xdr:row>4</xdr:row>
      <xdr:rowOff>131308</xdr:rowOff>
    </xdr:from>
    <xdr:to>
      <xdr:col>16</xdr:col>
      <xdr:colOff>40433</xdr:colOff>
      <xdr:row>9</xdr:row>
      <xdr:rowOff>63949</xdr:rowOff>
    </xdr:to>
    <xdr:cxnSp macro="">
      <xdr:nvCxnSpPr>
        <xdr:cNvPr id="126" name="Elbow Connector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CxnSpPr>
          <a:stCxn id="57" idx="0"/>
          <a:endCxn id="123" idx="1"/>
        </xdr:cNvCxnSpPr>
      </xdr:nvCxnSpPr>
      <xdr:spPr>
        <a:xfrm rot="16200000" flipH="1">
          <a:off x="8267292" y="518409"/>
          <a:ext cx="885141" cy="1253940"/>
        </a:xfrm>
        <a:prstGeom prst="bentConnector4">
          <a:avLst>
            <a:gd name="adj1" fmla="val -25826"/>
            <a:gd name="adj2" fmla="val 7947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217326</xdr:colOff>
      <xdr:row>9</xdr:row>
      <xdr:rowOff>63951</xdr:rowOff>
    </xdr:from>
    <xdr:to>
      <xdr:col>12</xdr:col>
      <xdr:colOff>126353</xdr:colOff>
      <xdr:row>10</xdr:row>
      <xdr:rowOff>121656</xdr:rowOff>
    </xdr:to>
    <xdr:cxnSp macro="">
      <xdr:nvCxnSpPr>
        <xdr:cNvPr id="127" name="Elbow Connector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CxnSpPr>
          <a:stCxn id="46" idx="4"/>
          <a:endCxn id="40" idx="3"/>
        </xdr:cNvCxnSpPr>
      </xdr:nvCxnSpPr>
      <xdr:spPr>
        <a:xfrm rot="5400000" flipH="1">
          <a:off x="6296137" y="1147940"/>
          <a:ext cx="248205" cy="1128227"/>
        </a:xfrm>
        <a:prstGeom prst="bentConnector4">
          <a:avLst>
            <a:gd name="adj1" fmla="val -92101"/>
            <a:gd name="adj2" fmla="val 53808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64926</xdr:colOff>
      <xdr:row>9</xdr:row>
      <xdr:rowOff>73476</xdr:rowOff>
    </xdr:from>
    <xdr:to>
      <xdr:col>10</xdr:col>
      <xdr:colOff>126353</xdr:colOff>
      <xdr:row>10</xdr:row>
      <xdr:rowOff>121656</xdr:rowOff>
    </xdr:to>
    <xdr:cxnSp macro="">
      <xdr:nvCxnSpPr>
        <xdr:cNvPr id="128" name="Elbow Connector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CxnSpPr>
          <a:stCxn id="39" idx="4"/>
          <a:endCxn id="6" idx="3"/>
        </xdr:cNvCxnSpPr>
      </xdr:nvCxnSpPr>
      <xdr:spPr>
        <a:xfrm rot="5400000" flipH="1">
          <a:off x="5005500" y="1076502"/>
          <a:ext cx="238680" cy="1280627"/>
        </a:xfrm>
        <a:prstGeom prst="bentConnector4">
          <a:avLst>
            <a:gd name="adj1" fmla="val -95777"/>
            <a:gd name="adj2" fmla="val 5335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217326</xdr:colOff>
      <xdr:row>9</xdr:row>
      <xdr:rowOff>63951</xdr:rowOff>
    </xdr:from>
    <xdr:to>
      <xdr:col>16</xdr:col>
      <xdr:colOff>126353</xdr:colOff>
      <xdr:row>10</xdr:row>
      <xdr:rowOff>121656</xdr:rowOff>
    </xdr:to>
    <xdr:cxnSp macro="">
      <xdr:nvCxnSpPr>
        <xdr:cNvPr id="129" name="Elbow Connector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CxnSpPr>
          <a:stCxn id="122" idx="4"/>
          <a:endCxn id="47" idx="3"/>
        </xdr:cNvCxnSpPr>
      </xdr:nvCxnSpPr>
      <xdr:spPr>
        <a:xfrm rot="5400000" flipH="1">
          <a:off x="8124937" y="538340"/>
          <a:ext cx="248205" cy="2347427"/>
        </a:xfrm>
        <a:prstGeom prst="bentConnector4">
          <a:avLst>
            <a:gd name="adj1" fmla="val -92101"/>
            <a:gd name="adj2" fmla="val 5183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10</xdr:row>
      <xdr:rowOff>131181</xdr:rowOff>
    </xdr:from>
    <xdr:to>
      <xdr:col>7</xdr:col>
      <xdr:colOff>583553</xdr:colOff>
      <xdr:row>18</xdr:row>
      <xdr:rowOff>95251</xdr:rowOff>
    </xdr:to>
    <xdr:cxnSp macro="">
      <xdr:nvCxnSpPr>
        <xdr:cNvPr id="130" name="Elbow Connector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CxnSpPr>
          <a:stCxn id="5" idx="4"/>
          <a:endCxn id="153" idx="0"/>
        </xdr:cNvCxnSpPr>
      </xdr:nvCxnSpPr>
      <xdr:spPr>
        <a:xfrm rot="5400000">
          <a:off x="3205342" y="2145539"/>
          <a:ext cx="1488070" cy="888353"/>
        </a:xfrm>
        <a:prstGeom prst="bentConnector3">
          <a:avLst>
            <a:gd name="adj1" fmla="val 5192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461463</xdr:colOff>
      <xdr:row>20</xdr:row>
      <xdr:rowOff>9525</xdr:rowOff>
    </xdr:from>
    <xdr:to>
      <xdr:col>10</xdr:col>
      <xdr:colOff>569963</xdr:colOff>
      <xdr:row>23</xdr:row>
      <xdr:rowOff>43289</xdr:rowOff>
    </xdr:to>
    <xdr:cxnSp macro="">
      <xdr:nvCxnSpPr>
        <xdr:cNvPr id="131" name="Elbow Connector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CxnSpPr>
          <a:stCxn id="11" idx="0"/>
          <a:endCxn id="143" idx="2"/>
        </xdr:cNvCxnSpPr>
      </xdr:nvCxnSpPr>
      <xdr:spPr>
        <a:xfrm rot="16200000" flipH="1">
          <a:off x="5242281" y="3267807"/>
          <a:ext cx="605264" cy="1327700"/>
        </a:xfrm>
        <a:prstGeom prst="bentConnector5">
          <a:avLst>
            <a:gd name="adj1" fmla="val -23606"/>
            <a:gd name="adj2" fmla="val 59582"/>
            <a:gd name="adj3" fmla="val 13776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2</xdr:row>
      <xdr:rowOff>133350</xdr:rowOff>
    </xdr:from>
    <xdr:to>
      <xdr:col>15</xdr:col>
      <xdr:colOff>247650</xdr:colOff>
      <xdr:row>13</xdr:row>
      <xdr:rowOff>47625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4019550" y="323850"/>
          <a:ext cx="4914900" cy="2009775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180975</xdr:colOff>
      <xdr:row>1</xdr:row>
      <xdr:rowOff>142875</xdr:rowOff>
    </xdr:from>
    <xdr:to>
      <xdr:col>4</xdr:col>
      <xdr:colOff>180975</xdr:colOff>
      <xdr:row>6</xdr:row>
      <xdr:rowOff>38100</xdr:rowOff>
    </xdr:to>
    <xdr:grpSp>
      <xdr:nvGrpSpPr>
        <xdr:cNvPr id="133" name="Group 591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GrpSpPr>
          <a:grpSpLocks/>
        </xdr:cNvGrpSpPr>
      </xdr:nvGrpSpPr>
      <xdr:grpSpPr bwMode="auto">
        <a:xfrm>
          <a:off x="1552575" y="333375"/>
          <a:ext cx="609600" cy="847725"/>
          <a:chOff x="997" y="134"/>
          <a:chExt cx="143" cy="138"/>
        </a:xfrm>
      </xdr:grpSpPr>
      <xdr:sp macro="" textlink="">
        <xdr:nvSpPr>
          <xdr:cNvPr id="134" name="Rectangle 587">
            <a:extLst>
              <a:ext uri="{FF2B5EF4-FFF2-40B4-BE49-F238E27FC236}">
                <a16:creationId xmlns:a16="http://schemas.microsoft.com/office/drawing/2014/main" id="{00000000-0008-0000-0400-000086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" name="AutoShape 590">
            <a:extLst>
              <a:ext uri="{FF2B5EF4-FFF2-40B4-BE49-F238E27FC236}">
                <a16:creationId xmlns:a16="http://schemas.microsoft.com/office/drawing/2014/main" id="{00000000-0008-0000-0400-000087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227335</xdr:colOff>
      <xdr:row>9</xdr:row>
      <xdr:rowOff>47625</xdr:rowOff>
    </xdr:from>
    <xdr:to>
      <xdr:col>7</xdr:col>
      <xdr:colOff>497633</xdr:colOff>
      <xdr:row>9</xdr:row>
      <xdr:rowOff>73475</xdr:rowOff>
    </xdr:to>
    <xdr:cxnSp macro="">
      <xdr:nvCxnSpPr>
        <xdr:cNvPr id="136" name="Elbow Connector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CxnSpPr>
          <a:stCxn id="167" idx="0"/>
          <a:endCxn id="6" idx="1"/>
        </xdr:cNvCxnSpPr>
      </xdr:nvCxnSpPr>
      <xdr:spPr>
        <a:xfrm rot="16200000" flipH="1">
          <a:off x="3549959" y="839801"/>
          <a:ext cx="25850" cy="1489498"/>
        </a:xfrm>
        <a:prstGeom prst="bentConnector4">
          <a:avLst>
            <a:gd name="adj1" fmla="val -884333"/>
            <a:gd name="adj2" fmla="val 65961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126352</xdr:colOff>
      <xdr:row>5</xdr:row>
      <xdr:rowOff>114301</xdr:rowOff>
    </xdr:from>
    <xdr:to>
      <xdr:col>18</xdr:col>
      <xdr:colOff>571499</xdr:colOff>
      <xdr:row>8</xdr:row>
      <xdr:rowOff>1</xdr:rowOff>
    </xdr:to>
    <xdr:cxnSp macro="">
      <xdr:nvCxnSpPr>
        <xdr:cNvPr id="137" name="Elbow Connector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CxnSpPr>
          <a:stCxn id="120" idx="0"/>
        </xdr:cNvCxnSpPr>
      </xdr:nvCxnSpPr>
      <xdr:spPr>
        <a:xfrm rot="5400000" flipH="1" flipV="1">
          <a:off x="10026326" y="272727"/>
          <a:ext cx="457200" cy="16643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364066</xdr:colOff>
      <xdr:row>4</xdr:row>
      <xdr:rowOff>115359</xdr:rowOff>
    </xdr:from>
    <xdr:to>
      <xdr:col>16</xdr:col>
      <xdr:colOff>468841</xdr:colOff>
      <xdr:row>5</xdr:row>
      <xdr:rowOff>186267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GrpSpPr/>
      </xdr:nvGrpSpPr>
      <xdr:grpSpPr>
        <a:xfrm rot="16488717">
          <a:off x="9582150" y="955675"/>
          <a:ext cx="261408" cy="104775"/>
          <a:chOff x="1247775" y="900113"/>
          <a:chExt cx="352426" cy="142875"/>
        </a:xfrm>
      </xdr:grpSpPr>
      <xdr:cxnSp macro="">
        <xdr:nvCxnSpPr>
          <xdr:cNvPr id="139" name="Straight Connector 138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Straight Connector 139">
            <a:extLst>
              <a:ext uri="{FF2B5EF4-FFF2-40B4-BE49-F238E27FC236}">
                <a16:creationId xmlns:a16="http://schemas.microsoft.com/office/drawing/2014/main" id="{00000000-0008-0000-0400-00008C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1" name="Oval 140">
            <a:extLst>
              <a:ext uri="{FF2B5EF4-FFF2-40B4-BE49-F238E27FC236}">
                <a16:creationId xmlns:a16="http://schemas.microsoft.com/office/drawing/2014/main" id="{00000000-0008-0000-0400-00008D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42" name="Straight Connector 141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523875</xdr:colOff>
      <xdr:row>19</xdr:row>
      <xdr:rowOff>40046</xdr:rowOff>
    </xdr:from>
    <xdr:to>
      <xdr:col>11</xdr:col>
      <xdr:colOff>6452</xdr:colOff>
      <xdr:row>23</xdr:row>
      <xdr:rowOff>43289</xdr:rowOff>
    </xdr:to>
    <xdr:sp macro="" textlink="">
      <xdr:nvSpPr>
        <xdr:cNvPr id="143" name="Rectangle 20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 bwMode="auto">
        <a:xfrm flipH="1">
          <a:off x="6162675" y="3469046"/>
          <a:ext cx="92177" cy="765243"/>
        </a:xfrm>
        <a:prstGeom prst="rect">
          <a:avLst/>
        </a:prstGeom>
        <a:gradFill rotWithShape="0">
          <a:gsLst>
            <a:gs pos="0">
              <a:srgbClr val="FFFFFF">
                <a:gamma/>
                <a:shade val="46275"/>
                <a:invGamma/>
              </a:srgbClr>
            </a:gs>
            <a:gs pos="5000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233925</xdr:colOff>
      <xdr:row>8</xdr:row>
      <xdr:rowOff>135296</xdr:rowOff>
    </xdr:from>
    <xdr:to>
      <xdr:col>3</xdr:col>
      <xdr:colOff>449006</xdr:colOff>
      <xdr:row>9</xdr:row>
      <xdr:rowOff>161925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1605525" y="1468796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21</a:t>
          </a:r>
        </a:p>
      </xdr:txBody>
    </xdr:sp>
    <xdr:clientData/>
  </xdr:twoCellAnchor>
  <xdr:twoCellAnchor>
    <xdr:from>
      <xdr:col>6</xdr:col>
      <xdr:colOff>23250</xdr:colOff>
      <xdr:row>6</xdr:row>
      <xdr:rowOff>104570</xdr:rowOff>
    </xdr:from>
    <xdr:to>
      <xdr:col>6</xdr:col>
      <xdr:colOff>233415</xdr:colOff>
      <xdr:row>7</xdr:row>
      <xdr:rowOff>135296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3223650" y="1057070"/>
          <a:ext cx="210165" cy="22122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3</a:t>
          </a:r>
        </a:p>
      </xdr:txBody>
    </xdr:sp>
    <xdr:clientData/>
  </xdr:twoCellAnchor>
  <xdr:twoCellAnchor>
    <xdr:from>
      <xdr:col>5</xdr:col>
      <xdr:colOff>304185</xdr:colOff>
      <xdr:row>12</xdr:row>
      <xdr:rowOff>50493</xdr:rowOff>
    </xdr:from>
    <xdr:to>
      <xdr:col>5</xdr:col>
      <xdr:colOff>514350</xdr:colOff>
      <xdr:row>13</xdr:row>
      <xdr:rowOff>81218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2894985" y="2145993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4</a:t>
          </a:r>
        </a:p>
      </xdr:txBody>
    </xdr:sp>
    <xdr:clientData/>
  </xdr:twoCellAnchor>
  <xdr:twoCellAnchor>
    <xdr:from>
      <xdr:col>3</xdr:col>
      <xdr:colOff>485775</xdr:colOff>
      <xdr:row>20</xdr:row>
      <xdr:rowOff>57150</xdr:rowOff>
    </xdr:from>
    <xdr:to>
      <xdr:col>4</xdr:col>
      <xdr:colOff>485775</xdr:colOff>
      <xdr:row>24</xdr:row>
      <xdr:rowOff>142875</xdr:rowOff>
    </xdr:to>
    <xdr:grpSp>
      <xdr:nvGrpSpPr>
        <xdr:cNvPr id="147" name="Group 591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GrpSpPr>
          <a:grpSpLocks/>
        </xdr:cNvGrpSpPr>
      </xdr:nvGrpSpPr>
      <xdr:grpSpPr bwMode="auto">
        <a:xfrm>
          <a:off x="1857375" y="3867150"/>
          <a:ext cx="609600" cy="847725"/>
          <a:chOff x="997" y="134"/>
          <a:chExt cx="143" cy="138"/>
        </a:xfrm>
      </xdr:grpSpPr>
      <xdr:sp macro="" textlink="">
        <xdr:nvSpPr>
          <xdr:cNvPr id="148" name="Rectangle 587">
            <a:extLst>
              <a:ext uri="{FF2B5EF4-FFF2-40B4-BE49-F238E27FC236}">
                <a16:creationId xmlns:a16="http://schemas.microsoft.com/office/drawing/2014/main" id="{00000000-0008-0000-0400-000094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9" name="AutoShape 590">
            <a:extLst>
              <a:ext uri="{FF2B5EF4-FFF2-40B4-BE49-F238E27FC236}">
                <a16:creationId xmlns:a16="http://schemas.microsoft.com/office/drawing/2014/main" id="{00000000-0008-0000-0400-000095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581025</xdr:colOff>
      <xdr:row>19</xdr:row>
      <xdr:rowOff>66675</xdr:rowOff>
    </xdr:from>
    <xdr:to>
      <xdr:col>6</xdr:col>
      <xdr:colOff>581025</xdr:colOff>
      <xdr:row>24</xdr:row>
      <xdr:rowOff>104775</xdr:rowOff>
    </xdr:to>
    <xdr:sp macro="" textlink="">
      <xdr:nvSpPr>
        <xdr:cNvPr id="151" name="Rectangle 58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 bwMode="auto">
        <a:xfrm>
          <a:off x="3171825" y="3495675"/>
          <a:ext cx="609600" cy="990600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454545" mc:Ignorable="a14" a14:legacySpreadsheetColorIndex="5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69696" mc:Ignorable="a14" a14:legacySpreadsheetColorIndex="55"/>
            </a:gs>
            <a:gs pos="100000">
              <a:srgbClr xmlns:mc="http://schemas.openxmlformats.org/markup-compatibility/2006" xmlns:a14="http://schemas.microsoft.com/office/drawing/2010/main" val="454545" mc:Ignorable="a14" a14:legacySpreadsheetColorIndex="55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485775</xdr:colOff>
      <xdr:row>22</xdr:row>
      <xdr:rowOff>182942</xdr:rowOff>
    </xdr:from>
    <xdr:to>
      <xdr:col>6</xdr:col>
      <xdr:colOff>276225</xdr:colOff>
      <xdr:row>24</xdr:row>
      <xdr:rowOff>104775</xdr:rowOff>
    </xdr:to>
    <xdr:cxnSp macro="">
      <xdr:nvCxnSpPr>
        <xdr:cNvPr id="155" name="Elbow Connector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CxnSpPr>
          <a:stCxn id="151" idx="2"/>
          <a:endCxn id="148" idx="3"/>
        </xdr:cNvCxnSpPr>
      </xdr:nvCxnSpPr>
      <xdr:spPr>
        <a:xfrm rot="5400000" flipH="1">
          <a:off x="2820383" y="3830034"/>
          <a:ext cx="302833" cy="1009650"/>
        </a:xfrm>
        <a:prstGeom prst="bentConnector4">
          <a:avLst>
            <a:gd name="adj1" fmla="val -75487"/>
            <a:gd name="adj2" fmla="val 6509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21</xdr:row>
      <xdr:rowOff>180975</xdr:rowOff>
    </xdr:from>
    <xdr:to>
      <xdr:col>8</xdr:col>
      <xdr:colOff>152400</xdr:colOff>
      <xdr:row>22</xdr:row>
      <xdr:rowOff>135317</xdr:rowOff>
    </xdr:to>
    <xdr:cxnSp macro="">
      <xdr:nvCxnSpPr>
        <xdr:cNvPr id="158" name="Elbow Connector 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CxnSpPr>
          <a:stCxn id="151" idx="3"/>
          <a:endCxn id="10" idx="1"/>
        </xdr:cNvCxnSpPr>
      </xdr:nvCxnSpPr>
      <xdr:spPr>
        <a:xfrm>
          <a:off x="3781425" y="3990975"/>
          <a:ext cx="790575" cy="14484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219075</xdr:colOff>
      <xdr:row>27</xdr:row>
      <xdr:rowOff>19050</xdr:rowOff>
    </xdr:from>
    <xdr:ext cx="4286250" cy="1028700"/>
    <xdr:pic>
      <xdr:nvPicPr>
        <xdr:cNvPr id="163" name="Picture 162" descr="http://media.noria.com/sites/archive_images/Backup_200311_lubselect-tab2.gif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4972050"/>
          <a:ext cx="42862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228600</xdr:colOff>
      <xdr:row>9</xdr:row>
      <xdr:rowOff>47625</xdr:rowOff>
    </xdr:from>
    <xdr:to>
      <xdr:col>6</xdr:col>
      <xdr:colOff>219076</xdr:colOff>
      <xdr:row>10</xdr:row>
      <xdr:rowOff>190339</xdr:rowOff>
    </xdr:to>
    <xdr:grpSp>
      <xdr:nvGrpSpPr>
        <xdr:cNvPr id="164" name="Group 322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GrpSpPr>
          <a:grpSpLocks/>
        </xdr:cNvGrpSpPr>
      </xdr:nvGrpSpPr>
      <xdr:grpSpPr bwMode="auto">
        <a:xfrm>
          <a:off x="2209800" y="1762125"/>
          <a:ext cx="1209676" cy="333214"/>
          <a:chOff x="2933" y="2069"/>
          <a:chExt cx="173" cy="198"/>
        </a:xfrm>
      </xdr:grpSpPr>
      <xdr:sp macro="" textlink="">
        <xdr:nvSpPr>
          <xdr:cNvPr id="165" name="Oval 323">
            <a:extLst>
              <a:ext uri="{FF2B5EF4-FFF2-40B4-BE49-F238E27FC236}">
                <a16:creationId xmlns:a16="http://schemas.microsoft.com/office/drawing/2014/main" id="{00000000-0008-0000-0400-0000A5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39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6" name="Oval 324">
            <a:extLst>
              <a:ext uri="{FF2B5EF4-FFF2-40B4-BE49-F238E27FC236}">
                <a16:creationId xmlns:a16="http://schemas.microsoft.com/office/drawing/2014/main" id="{00000000-0008-0000-0400-0000A6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54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7" name="Rectangle 325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19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/>
          <a:lstStyle/>
          <a:p>
            <a:r>
              <a:rPr lang="en-US"/>
              <a:t>Slugcatcher</a:t>
            </a:r>
          </a:p>
          <a:p>
            <a:endParaRPr lang="en-US"/>
          </a:p>
        </xdr:txBody>
      </xdr:sp>
    </xdr:grpSp>
    <xdr:clientData/>
  </xdr:twoCellAnchor>
  <xdr:twoCellAnchor>
    <xdr:from>
      <xdr:col>6</xdr:col>
      <xdr:colOff>38101</xdr:colOff>
      <xdr:row>4</xdr:row>
      <xdr:rowOff>189707</xdr:rowOff>
    </xdr:from>
    <xdr:to>
      <xdr:col>7</xdr:col>
      <xdr:colOff>590550</xdr:colOff>
      <xdr:row>7</xdr:row>
      <xdr:rowOff>85725</xdr:rowOff>
    </xdr:to>
    <xdr:cxnSp macro="">
      <xdr:nvCxnSpPr>
        <xdr:cNvPr id="174" name="Elbow Connector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CxnSpPr>
          <a:stCxn id="180" idx="3"/>
        </xdr:cNvCxnSpPr>
      </xdr:nvCxnSpPr>
      <xdr:spPr>
        <a:xfrm>
          <a:off x="3238501" y="761207"/>
          <a:ext cx="1162049" cy="467518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38101</xdr:colOff>
      <xdr:row>4</xdr:row>
      <xdr:rowOff>189707</xdr:rowOff>
    </xdr:from>
    <xdr:to>
      <xdr:col>10</xdr:col>
      <xdr:colOff>142876</xdr:colOff>
      <xdr:row>7</xdr:row>
      <xdr:rowOff>80973</xdr:rowOff>
    </xdr:to>
    <xdr:cxnSp macro="">
      <xdr:nvCxnSpPr>
        <xdr:cNvPr id="175" name="Elbow Connector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CxnSpPr>
          <a:stCxn id="180" idx="3"/>
        </xdr:cNvCxnSpPr>
      </xdr:nvCxnSpPr>
      <xdr:spPr>
        <a:xfrm>
          <a:off x="3238501" y="761207"/>
          <a:ext cx="2543175" cy="462766"/>
        </a:xfrm>
        <a:prstGeom prst="bentConnector3">
          <a:avLst>
            <a:gd name="adj1" fmla="val 93820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38101</xdr:colOff>
      <xdr:row>4</xdr:row>
      <xdr:rowOff>189707</xdr:rowOff>
    </xdr:from>
    <xdr:to>
      <xdr:col>12</xdr:col>
      <xdr:colOff>142876</xdr:colOff>
      <xdr:row>7</xdr:row>
      <xdr:rowOff>80973</xdr:rowOff>
    </xdr:to>
    <xdr:cxnSp macro="">
      <xdr:nvCxnSpPr>
        <xdr:cNvPr id="176" name="Elbow Connector 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CxnSpPr>
          <a:stCxn id="180" idx="3"/>
        </xdr:cNvCxnSpPr>
      </xdr:nvCxnSpPr>
      <xdr:spPr>
        <a:xfrm>
          <a:off x="3238501" y="761207"/>
          <a:ext cx="3762375" cy="462766"/>
        </a:xfrm>
        <a:prstGeom prst="bentConnector3">
          <a:avLst>
            <a:gd name="adj1" fmla="val 95316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419101</xdr:colOff>
      <xdr:row>4</xdr:row>
      <xdr:rowOff>161925</xdr:rowOff>
    </xdr:from>
    <xdr:to>
      <xdr:col>6</xdr:col>
      <xdr:colOff>38101</xdr:colOff>
      <xdr:row>5</xdr:row>
      <xdr:rowOff>161925</xdr:rowOff>
    </xdr:to>
    <xdr:grpSp>
      <xdr:nvGrpSpPr>
        <xdr:cNvPr id="177" name="Group 179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GrpSpPr>
          <a:grpSpLocks/>
        </xdr:cNvGrpSpPr>
      </xdr:nvGrpSpPr>
      <xdr:grpSpPr bwMode="auto">
        <a:xfrm>
          <a:off x="3009901" y="923925"/>
          <a:ext cx="228600" cy="190500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178" name="AutoShape 180">
            <a:extLst>
              <a:ext uri="{FF2B5EF4-FFF2-40B4-BE49-F238E27FC236}">
                <a16:creationId xmlns:a16="http://schemas.microsoft.com/office/drawing/2014/main" id="{00000000-0008-0000-0400-0000B2000000}"/>
              </a:ext>
            </a:extLst>
          </xdr:cNvPr>
          <xdr:cNvSpPr>
            <a:spLocks noChangeArrowheads="1"/>
          </xdr:cNvSpPr>
        </xdr:nvSpPr>
        <xdr:spPr bwMode="auto">
          <a:xfrm rot="-10800000">
            <a:off x="371" y="505"/>
            <a:ext cx="58" cy="1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79" name="Group 181">
            <a:extLst>
              <a:ext uri="{FF2B5EF4-FFF2-40B4-BE49-F238E27FC236}">
                <a16:creationId xmlns:a16="http://schemas.microsoft.com/office/drawing/2014/main" id="{00000000-0008-0000-0400-0000B300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180" name="Rectangle 182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181" name="Group 183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182" name="Oval 184">
                <a:extLst>
                  <a:ext uri="{FF2B5EF4-FFF2-40B4-BE49-F238E27FC236}">
                    <a16:creationId xmlns:a16="http://schemas.microsoft.com/office/drawing/2014/main" id="{00000000-0008-0000-0400-0000B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83" name="Oval 185">
                <a:extLst>
                  <a:ext uri="{FF2B5EF4-FFF2-40B4-BE49-F238E27FC236}">
                    <a16:creationId xmlns:a16="http://schemas.microsoft.com/office/drawing/2014/main" id="{00000000-0008-0000-0400-0000B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3</xdr:col>
      <xdr:colOff>485774</xdr:colOff>
      <xdr:row>5</xdr:row>
      <xdr:rowOff>58738</xdr:rowOff>
    </xdr:from>
    <xdr:to>
      <xdr:col>5</xdr:col>
      <xdr:colOff>437535</xdr:colOff>
      <xdr:row>6</xdr:row>
      <xdr:rowOff>38100</xdr:rowOff>
    </xdr:to>
    <xdr:cxnSp macro="">
      <xdr:nvCxnSpPr>
        <xdr:cNvPr id="184" name="Elbow Connector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CxnSpPr>
          <a:stCxn id="134" idx="2"/>
          <a:endCxn id="182" idx="2"/>
        </xdr:cNvCxnSpPr>
      </xdr:nvCxnSpPr>
      <xdr:spPr>
        <a:xfrm rot="5400000" flipH="1" flipV="1">
          <a:off x="2357924" y="320188"/>
          <a:ext cx="169862" cy="1170961"/>
        </a:xfrm>
        <a:prstGeom prst="bentConnector4">
          <a:avLst>
            <a:gd name="adj1" fmla="val -134580"/>
            <a:gd name="adj2" fmla="val 63015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10</xdr:row>
      <xdr:rowOff>19050</xdr:rowOff>
    </xdr:from>
    <xdr:to>
      <xdr:col>4</xdr:col>
      <xdr:colOff>228600</xdr:colOff>
      <xdr:row>10</xdr:row>
      <xdr:rowOff>23732</xdr:rowOff>
    </xdr:to>
    <xdr:cxnSp macro="">
      <xdr:nvCxnSpPr>
        <xdr:cNvPr id="193" name="Elbow Connector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CxnSpPr>
          <a:endCxn id="166" idx="2"/>
        </xdr:cNvCxnSpPr>
      </xdr:nvCxnSpPr>
      <xdr:spPr>
        <a:xfrm>
          <a:off x="1295400" y="1733550"/>
          <a:ext cx="914400" cy="468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227335</xdr:colOff>
      <xdr:row>10</xdr:row>
      <xdr:rowOff>190338</xdr:rowOff>
    </xdr:from>
    <xdr:to>
      <xdr:col>6</xdr:col>
      <xdr:colOff>304800</xdr:colOff>
      <xdr:row>18</xdr:row>
      <xdr:rowOff>95249</xdr:rowOff>
    </xdr:to>
    <xdr:cxnSp macro="">
      <xdr:nvCxnSpPr>
        <xdr:cNvPr id="214" name="Elbow Connector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CxnSpPr>
          <a:stCxn id="167" idx="2"/>
          <a:endCxn id="153" idx="0"/>
        </xdr:cNvCxnSpPr>
      </xdr:nvCxnSpPr>
      <xdr:spPr>
        <a:xfrm rot="16200000" flipH="1">
          <a:off x="2447212" y="2275761"/>
          <a:ext cx="1428911" cy="68706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323850</xdr:colOff>
      <xdr:row>2</xdr:row>
      <xdr:rowOff>171450</xdr:rowOff>
    </xdr:from>
    <xdr:to>
      <xdr:col>16</xdr:col>
      <xdr:colOff>534015</xdr:colOff>
      <xdr:row>4</xdr:row>
      <xdr:rowOff>11675</xdr:rowOff>
    </xdr:to>
    <xdr:sp macro="" textlink="">
      <xdr:nvSpPr>
        <xdr:cNvPr id="226" name="Oval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9620250" y="361950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9</a:t>
          </a:r>
        </a:p>
      </xdr:txBody>
    </xdr:sp>
    <xdr:clientData/>
  </xdr:twoCellAnchor>
  <xdr:twoCellAnchor>
    <xdr:from>
      <xdr:col>5</xdr:col>
      <xdr:colOff>28575</xdr:colOff>
      <xdr:row>21</xdr:row>
      <xdr:rowOff>38100</xdr:rowOff>
    </xdr:from>
    <xdr:to>
      <xdr:col>5</xdr:col>
      <xdr:colOff>238740</xdr:colOff>
      <xdr:row>22</xdr:row>
      <xdr:rowOff>68825</xdr:rowOff>
    </xdr:to>
    <xdr:sp macro="" textlink="">
      <xdr:nvSpPr>
        <xdr:cNvPr id="227" name="Oval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2619375" y="3848100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6</a:t>
          </a:r>
        </a:p>
      </xdr:txBody>
    </xdr:sp>
    <xdr:clientData/>
  </xdr:twoCellAnchor>
  <xdr:twoCellAnchor>
    <xdr:from>
      <xdr:col>7</xdr:col>
      <xdr:colOff>133350</xdr:colOff>
      <xdr:row>20</xdr:row>
      <xdr:rowOff>76200</xdr:rowOff>
    </xdr:from>
    <xdr:to>
      <xdr:col>7</xdr:col>
      <xdr:colOff>343515</xdr:colOff>
      <xdr:row>21</xdr:row>
      <xdr:rowOff>106925</xdr:rowOff>
    </xdr:to>
    <xdr:sp macro="" textlink="">
      <xdr:nvSpPr>
        <xdr:cNvPr id="228" name="Oval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3943350" y="3695700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7</a:t>
          </a:r>
        </a:p>
      </xdr:txBody>
    </xdr:sp>
    <xdr:clientData/>
  </xdr:twoCellAnchor>
  <xdr:twoCellAnchor>
    <xdr:from>
      <xdr:col>8</xdr:col>
      <xdr:colOff>57150</xdr:colOff>
      <xdr:row>11</xdr:row>
      <xdr:rowOff>85725</xdr:rowOff>
    </xdr:from>
    <xdr:to>
      <xdr:col>8</xdr:col>
      <xdr:colOff>267315</xdr:colOff>
      <xdr:row>12</xdr:row>
      <xdr:rowOff>116450</xdr:rowOff>
    </xdr:to>
    <xdr:sp macro="" textlink="">
      <xdr:nvSpPr>
        <xdr:cNvPr id="229" name="Oval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4476750" y="1990725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5</a:t>
          </a:r>
        </a:p>
      </xdr:txBody>
    </xdr:sp>
    <xdr:clientData/>
  </xdr:twoCellAnchor>
  <xdr:twoCellAnchor>
    <xdr:from>
      <xdr:col>6</xdr:col>
      <xdr:colOff>180975</xdr:colOff>
      <xdr:row>3</xdr:row>
      <xdr:rowOff>66675</xdr:rowOff>
    </xdr:from>
    <xdr:to>
      <xdr:col>6</xdr:col>
      <xdr:colOff>391140</xdr:colOff>
      <xdr:row>4</xdr:row>
      <xdr:rowOff>97400</xdr:rowOff>
    </xdr:to>
    <xdr:sp macro="" textlink="">
      <xdr:nvSpPr>
        <xdr:cNvPr id="230" name="Oval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3381375" y="447675"/>
          <a:ext cx="210165" cy="22122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8</a:t>
          </a:r>
        </a:p>
      </xdr:txBody>
    </xdr:sp>
    <xdr:clientData/>
  </xdr:twoCellAnchor>
  <xdr:twoCellAnchor>
    <xdr:from>
      <xdr:col>19</xdr:col>
      <xdr:colOff>142875</xdr:colOff>
      <xdr:row>3</xdr:row>
      <xdr:rowOff>161925</xdr:rowOff>
    </xdr:from>
    <xdr:to>
      <xdr:col>19</xdr:col>
      <xdr:colOff>357956</xdr:colOff>
      <xdr:row>4</xdr:row>
      <xdr:rowOff>188554</xdr:rowOff>
    </xdr:to>
    <xdr:sp macro="" textlink="">
      <xdr:nvSpPr>
        <xdr:cNvPr id="234" name="Oval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11268075" y="54292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10</a:t>
          </a:r>
          <a:endParaRPr lang="en-US" sz="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2</xdr:row>
      <xdr:rowOff>66674</xdr:rowOff>
    </xdr:from>
    <xdr:to>
      <xdr:col>16</xdr:col>
      <xdr:colOff>219075</xdr:colOff>
      <xdr:row>4</xdr:row>
      <xdr:rowOff>0</xdr:rowOff>
    </xdr:to>
    <xdr:sp macro="" textlink="">
      <xdr:nvSpPr>
        <xdr:cNvPr id="15" name="AutoShape 22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 rot="5400000" flipH="1">
          <a:off x="9091612" y="300037"/>
          <a:ext cx="314326" cy="228600"/>
        </a:xfrm>
        <a:custGeom>
          <a:avLst/>
          <a:gdLst>
            <a:gd name="G0" fmla="+- 4547 0 0"/>
            <a:gd name="G1" fmla="+- 21600 0 4547"/>
            <a:gd name="G2" fmla="*/ 4547 1 2"/>
            <a:gd name="G3" fmla="+- 21600 0 G2"/>
            <a:gd name="G4" fmla="+/ 4547 21600 2"/>
            <a:gd name="G5" fmla="+/ G1 0 2"/>
            <a:gd name="G6" fmla="*/ 21600 21600 4547"/>
            <a:gd name="G7" fmla="*/ G6 1 2"/>
            <a:gd name="G8" fmla="+- 21600 0 G7"/>
            <a:gd name="G9" fmla="*/ 21600 1 2"/>
            <a:gd name="G10" fmla="+- 4547 0 G9"/>
            <a:gd name="G11" fmla="?: G10 G8 0"/>
            <a:gd name="G12" fmla="?: G10 G7 21600"/>
            <a:gd name="T0" fmla="*/ 19326 w 21600"/>
            <a:gd name="T1" fmla="*/ 10800 h 21600"/>
            <a:gd name="T2" fmla="*/ 10800 w 21600"/>
            <a:gd name="T3" fmla="*/ 21600 h 21600"/>
            <a:gd name="T4" fmla="*/ 2274 w 21600"/>
            <a:gd name="T5" fmla="*/ 10800 h 21600"/>
            <a:gd name="T6" fmla="*/ 10800 w 21600"/>
            <a:gd name="T7" fmla="*/ 0 h 21600"/>
            <a:gd name="T8" fmla="*/ 4074 w 21600"/>
            <a:gd name="T9" fmla="*/ 4074 h 21600"/>
            <a:gd name="T10" fmla="*/ 17526 w 21600"/>
            <a:gd name="T11" fmla="*/ 17526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4547" y="21600"/>
              </a:lnTo>
              <a:lnTo>
                <a:pt x="17053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95249</xdr:colOff>
      <xdr:row>15</xdr:row>
      <xdr:rowOff>152400</xdr:rowOff>
    </xdr:from>
    <xdr:to>
      <xdr:col>8</xdr:col>
      <xdr:colOff>238124</xdr:colOff>
      <xdr:row>16</xdr:row>
      <xdr:rowOff>114300</xdr:rowOff>
    </xdr:to>
    <xdr:grpSp>
      <xdr:nvGrpSpPr>
        <xdr:cNvPr id="16" name="Group 9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>
          <a:grpSpLocks/>
        </xdr:cNvGrpSpPr>
      </xdr:nvGrpSpPr>
      <xdr:grpSpPr bwMode="auto">
        <a:xfrm>
          <a:off x="5114924" y="3009900"/>
          <a:ext cx="142875" cy="152400"/>
          <a:chOff x="8751" y="1601"/>
          <a:chExt cx="38" cy="42"/>
        </a:xfrm>
      </xdr:grpSpPr>
      <xdr:sp macro="" textlink="">
        <xdr:nvSpPr>
          <xdr:cNvPr id="17" name="Rectangle 9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18" name="Group 9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22" name="AutoShape 98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3" name="Rectangle 99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4" name="Rectangle 100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9" name="Group 101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20" name="Rectangle 102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" name="AutoShape 103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4</xdr:col>
      <xdr:colOff>212726</xdr:colOff>
      <xdr:row>22</xdr:row>
      <xdr:rowOff>83590</xdr:rowOff>
    </xdr:from>
    <xdr:to>
      <xdr:col>4</xdr:col>
      <xdr:colOff>400050</xdr:colOff>
      <xdr:row>23</xdr:row>
      <xdr:rowOff>9528</xdr:rowOff>
    </xdr:to>
    <xdr:sp macro="" textlink="">
      <xdr:nvSpPr>
        <xdr:cNvPr id="26" name="Oval 32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 rot="5400000">
          <a:off x="2076969" y="3667647"/>
          <a:ext cx="116438" cy="187324"/>
        </a:xfrm>
        <a:prstGeom prst="ellipse">
          <a:avLst/>
        </a:prstGeom>
        <a:gradFill rotWithShape="0">
          <a:gsLst>
            <a:gs pos="0">
              <a:srgbClr val="FFFFFF">
                <a:gamma/>
                <a:shade val="46275"/>
                <a:invGamma/>
              </a:srgbClr>
            </a:gs>
            <a:gs pos="5000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203199</xdr:colOff>
      <xdr:row>21</xdr:row>
      <xdr:rowOff>51022</xdr:rowOff>
    </xdr:from>
    <xdr:to>
      <xdr:col>4</xdr:col>
      <xdr:colOff>409574</xdr:colOff>
      <xdr:row>22</xdr:row>
      <xdr:rowOff>133353</xdr:rowOff>
    </xdr:to>
    <xdr:sp macro="" textlink="">
      <xdr:nvSpPr>
        <xdr:cNvPr id="28" name="Rectangle 32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 bwMode="auto">
        <a:xfrm rot="5400000">
          <a:off x="1998771" y="3513250"/>
          <a:ext cx="272831" cy="206375"/>
        </a:xfrm>
        <a:prstGeom prst="rect">
          <a:avLst/>
        </a:prstGeom>
        <a:gradFill rotWithShape="0">
          <a:gsLst>
            <a:gs pos="0">
              <a:srgbClr val="FFFFFF">
                <a:gamma/>
                <a:shade val="46275"/>
                <a:invGamma/>
              </a:srgbClr>
            </a:gs>
            <a:gs pos="5000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219075</xdr:colOff>
      <xdr:row>9</xdr:row>
      <xdr:rowOff>104775</xdr:rowOff>
    </xdr:from>
    <xdr:to>
      <xdr:col>19</xdr:col>
      <xdr:colOff>514350</xdr:colOff>
      <xdr:row>11</xdr:row>
      <xdr:rowOff>9525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GrpSpPr/>
      </xdr:nvGrpSpPr>
      <xdr:grpSpPr>
        <a:xfrm>
          <a:off x="12430125" y="1819275"/>
          <a:ext cx="295275" cy="285750"/>
          <a:chOff x="609600" y="11658600"/>
          <a:chExt cx="566738" cy="561975"/>
        </a:xfrm>
      </xdr:grpSpPr>
      <xdr:sp macro="" textlink="">
        <xdr:nvSpPr>
          <xdr:cNvPr id="64" name="Oval 323"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65" name="Straight Connector 64"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6" name="Straight Arrow Connector 65">
            <a:extLst>
              <a:ext uri="{FF2B5EF4-FFF2-40B4-BE49-F238E27FC236}">
                <a16:creationId xmlns:a16="http://schemas.microsoft.com/office/drawing/2014/main" id="{00000000-0008-0000-0500-000042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3</xdr:col>
      <xdr:colOff>161922</xdr:colOff>
      <xdr:row>18</xdr:row>
      <xdr:rowOff>180980</xdr:rowOff>
    </xdr:from>
    <xdr:to>
      <xdr:col>5</xdr:col>
      <xdr:colOff>114300</xdr:colOff>
      <xdr:row>21</xdr:row>
      <xdr:rowOff>56994</xdr:rowOff>
    </xdr:to>
    <xdr:grpSp>
      <xdr:nvGrpSpPr>
        <xdr:cNvPr id="68" name="Group 322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GrpSpPr>
          <a:grpSpLocks/>
        </xdr:cNvGrpSpPr>
      </xdr:nvGrpSpPr>
      <xdr:grpSpPr bwMode="auto">
        <a:xfrm>
          <a:off x="1943097" y="3609980"/>
          <a:ext cx="1362078" cy="514189"/>
          <a:chOff x="2933" y="2069"/>
          <a:chExt cx="173" cy="198"/>
        </a:xfrm>
      </xdr:grpSpPr>
      <xdr:sp macro="" textlink="">
        <xdr:nvSpPr>
          <xdr:cNvPr id="69" name="Oval 323">
            <a:extLst>
              <a:ext uri="{FF2B5EF4-FFF2-40B4-BE49-F238E27FC236}">
                <a16:creationId xmlns:a16="http://schemas.microsoft.com/office/drawing/2014/main" id="{00000000-0008-0000-05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39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0" name="Oval 324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54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1" name="Rectangle 325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19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/>
          <a:lstStyle/>
          <a:p>
            <a:r>
              <a:rPr lang="en-US"/>
              <a:t>Slugcatcher</a:t>
            </a:r>
          </a:p>
          <a:p>
            <a:endParaRPr lang="en-US"/>
          </a:p>
        </xdr:txBody>
      </xdr:sp>
    </xdr:grpSp>
    <xdr:clientData/>
  </xdr:twoCellAnchor>
  <xdr:twoCellAnchor>
    <xdr:from>
      <xdr:col>13</xdr:col>
      <xdr:colOff>28576</xdr:colOff>
      <xdr:row>23</xdr:row>
      <xdr:rowOff>123824</xdr:rowOff>
    </xdr:from>
    <xdr:to>
      <xdr:col>13</xdr:col>
      <xdr:colOff>161926</xdr:colOff>
      <xdr:row>24</xdr:row>
      <xdr:rowOff>38099</xdr:rowOff>
    </xdr:to>
    <xdr:grpSp>
      <xdr:nvGrpSpPr>
        <xdr:cNvPr id="72" name="Group 322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GrpSpPr>
          <a:grpSpLocks/>
        </xdr:cNvGrpSpPr>
      </xdr:nvGrpSpPr>
      <xdr:grpSpPr bwMode="auto">
        <a:xfrm>
          <a:off x="8467726" y="4571999"/>
          <a:ext cx="133350" cy="104775"/>
          <a:chOff x="2933" y="2069"/>
          <a:chExt cx="175" cy="59"/>
        </a:xfrm>
      </xdr:grpSpPr>
      <xdr:sp macro="" textlink="">
        <xdr:nvSpPr>
          <xdr:cNvPr id="73" name="Oval 323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4" name="Oval 324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5" name="Rectangle 325">
            <a:extLst>
              <a:ext uri="{FF2B5EF4-FFF2-40B4-BE49-F238E27FC236}">
                <a16:creationId xmlns:a16="http://schemas.microsoft.com/office/drawing/2014/main" id="{00000000-0008-0000-05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581025</xdr:colOff>
      <xdr:row>20</xdr:row>
      <xdr:rowOff>23737</xdr:rowOff>
    </xdr:from>
    <xdr:to>
      <xdr:col>3</xdr:col>
      <xdr:colOff>161922</xdr:colOff>
      <xdr:row>20</xdr:row>
      <xdr:rowOff>33338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>
          <a:stCxn id="773" idx="6"/>
          <a:endCxn id="70" idx="2"/>
        </xdr:cNvCxnSpPr>
      </xdr:nvCxnSpPr>
      <xdr:spPr>
        <a:xfrm flipV="1">
          <a:off x="1800225" y="3643237"/>
          <a:ext cx="190497" cy="96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141497</xdr:colOff>
      <xdr:row>14</xdr:row>
      <xdr:rowOff>4220</xdr:rowOff>
    </xdr:from>
    <xdr:to>
      <xdr:col>5</xdr:col>
      <xdr:colOff>323850</xdr:colOff>
      <xdr:row>18</xdr:row>
      <xdr:rowOff>180981</xdr:rowOff>
    </xdr:to>
    <xdr:cxnSp macro="">
      <xdr:nvCxnSpPr>
        <xdr:cNvPr id="77" name="Elbow Connector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>
          <a:stCxn id="71" idx="0"/>
          <a:endCxn id="544" idx="3"/>
        </xdr:cNvCxnSpPr>
      </xdr:nvCxnSpPr>
      <xdr:spPr>
        <a:xfrm rot="5400000" flipH="1" flipV="1">
          <a:off x="1868318" y="2554124"/>
          <a:ext cx="938761" cy="791953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306389</xdr:colOff>
      <xdr:row>23</xdr:row>
      <xdr:rowOff>9527</xdr:rowOff>
    </xdr:from>
    <xdr:to>
      <xdr:col>4</xdr:col>
      <xdr:colOff>390527</xdr:colOff>
      <xdr:row>29</xdr:row>
      <xdr:rowOff>147636</xdr:rowOff>
    </xdr:to>
    <xdr:cxnSp macro="">
      <xdr:nvCxnSpPr>
        <xdr:cNvPr id="78" name="Elbow Connector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CxnSpPr>
          <a:stCxn id="26" idx="6"/>
          <a:endCxn id="236" idx="2"/>
        </xdr:cNvCxnSpPr>
      </xdr:nvCxnSpPr>
      <xdr:spPr>
        <a:xfrm rot="16200000" flipH="1">
          <a:off x="1536703" y="4418013"/>
          <a:ext cx="1281109" cy="84138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23</xdr:row>
      <xdr:rowOff>123825</xdr:rowOff>
    </xdr:from>
    <xdr:to>
      <xdr:col>13</xdr:col>
      <xdr:colOff>94870</xdr:colOff>
      <xdr:row>27</xdr:row>
      <xdr:rowOff>104776</xdr:rowOff>
    </xdr:to>
    <xdr:cxnSp macro="">
      <xdr:nvCxnSpPr>
        <xdr:cNvPr id="79" name="Elbow Connector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CxnSpPr>
          <a:stCxn id="251" idx="2"/>
          <a:endCxn id="75" idx="0"/>
        </xdr:cNvCxnSpPr>
      </xdr:nvCxnSpPr>
      <xdr:spPr>
        <a:xfrm rot="5400000" flipH="1" flipV="1">
          <a:off x="5643372" y="2910078"/>
          <a:ext cx="742951" cy="2790445"/>
        </a:xfrm>
        <a:prstGeom prst="bentConnector3">
          <a:avLst>
            <a:gd name="adj1" fmla="val 13076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138266</xdr:colOff>
      <xdr:row>29</xdr:row>
      <xdr:rowOff>147637</xdr:rowOff>
    </xdr:from>
    <xdr:to>
      <xdr:col>4</xdr:col>
      <xdr:colOff>523876</xdr:colOff>
      <xdr:row>35</xdr:row>
      <xdr:rowOff>27568</xdr:rowOff>
    </xdr:to>
    <xdr:cxnSp macro="">
      <xdr:nvCxnSpPr>
        <xdr:cNvPr id="80" name="Elbow Connector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>
          <a:stCxn id="235" idx="6"/>
          <a:endCxn id="244" idx="3"/>
        </xdr:cNvCxnSpPr>
      </xdr:nvCxnSpPr>
      <xdr:spPr>
        <a:xfrm flipH="1">
          <a:off x="1967066" y="5100637"/>
          <a:ext cx="385610" cy="1022931"/>
        </a:xfrm>
        <a:prstGeom prst="bentConnector3">
          <a:avLst>
            <a:gd name="adj1" fmla="val -59283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9525</xdr:rowOff>
    </xdr:from>
    <xdr:to>
      <xdr:col>7</xdr:col>
      <xdr:colOff>161925</xdr:colOff>
      <xdr:row>15</xdr:row>
      <xdr:rowOff>0</xdr:rowOff>
    </xdr:to>
    <xdr:grpSp>
      <xdr:nvGrpSpPr>
        <xdr:cNvPr id="83" name="Group 32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GrpSpPr>
          <a:grpSpLocks/>
        </xdr:cNvGrpSpPr>
      </xdr:nvGrpSpPr>
      <xdr:grpSpPr bwMode="auto">
        <a:xfrm rot="5400000">
          <a:off x="4305300" y="2590800"/>
          <a:ext cx="371475" cy="161925"/>
          <a:chOff x="2933" y="2069"/>
          <a:chExt cx="175" cy="59"/>
        </a:xfrm>
      </xdr:grpSpPr>
      <xdr:sp macro="" textlink="">
        <xdr:nvSpPr>
          <xdr:cNvPr id="84" name="Oval 323">
            <a:extLst>
              <a:ext uri="{FF2B5EF4-FFF2-40B4-BE49-F238E27FC236}">
                <a16:creationId xmlns:a16="http://schemas.microsoft.com/office/drawing/2014/main" id="{00000000-0008-0000-05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5" name="Oval 324">
            <a:extLst>
              <a:ext uri="{FF2B5EF4-FFF2-40B4-BE49-F238E27FC236}">
                <a16:creationId xmlns:a16="http://schemas.microsoft.com/office/drawing/2014/main" id="{00000000-0008-0000-05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6" name="Rectangle 325">
            <a:extLst>
              <a:ext uri="{FF2B5EF4-FFF2-40B4-BE49-F238E27FC236}">
                <a16:creationId xmlns:a16="http://schemas.microsoft.com/office/drawing/2014/main" id="{00000000-0008-0000-05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3176</xdr:colOff>
      <xdr:row>24</xdr:row>
      <xdr:rowOff>187325</xdr:rowOff>
    </xdr:from>
    <xdr:to>
      <xdr:col>14</xdr:col>
      <xdr:colOff>15876</xdr:colOff>
      <xdr:row>28</xdr:row>
      <xdr:rowOff>139700</xdr:rowOff>
    </xdr:to>
    <xdr:cxnSp macro="">
      <xdr:nvCxnSpPr>
        <xdr:cNvPr id="91" name="Elbow Connector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CxnSpPr>
          <a:stCxn id="361" idx="0"/>
        </xdr:cNvCxnSpPr>
      </xdr:nvCxnSpPr>
      <xdr:spPr>
        <a:xfrm rot="5400000" flipH="1" flipV="1">
          <a:off x="7577138" y="4538663"/>
          <a:ext cx="714375" cy="12700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161086</xdr:colOff>
      <xdr:row>30</xdr:row>
      <xdr:rowOff>152178</xdr:rowOff>
    </xdr:from>
    <xdr:to>
      <xdr:col>11</xdr:col>
      <xdr:colOff>545167</xdr:colOff>
      <xdr:row>31</xdr:row>
      <xdr:rowOff>114299</xdr:rowOff>
    </xdr:to>
    <xdr:cxnSp macro="">
      <xdr:nvCxnSpPr>
        <xdr:cNvPr id="92" name="Elbow Connector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CxnSpPr>
          <a:stCxn id="265" idx="2"/>
          <a:endCxn id="267" idx="4"/>
        </xdr:cNvCxnSpPr>
      </xdr:nvCxnSpPr>
      <xdr:spPr>
        <a:xfrm rot="16200000" flipH="1">
          <a:off x="6372816" y="5179948"/>
          <a:ext cx="152621" cy="384081"/>
        </a:xfrm>
        <a:prstGeom prst="bentConnector3">
          <a:avLst>
            <a:gd name="adj1" fmla="val 249783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456821</xdr:colOff>
      <xdr:row>26</xdr:row>
      <xdr:rowOff>95089</xdr:rowOff>
    </xdr:from>
    <xdr:to>
      <xdr:col>6</xdr:col>
      <xdr:colOff>392838</xdr:colOff>
      <xdr:row>29</xdr:row>
      <xdr:rowOff>104774</xdr:rowOff>
    </xdr:to>
    <xdr:cxnSp macro="">
      <xdr:nvCxnSpPr>
        <xdr:cNvPr id="93" name="Elbow Connector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CxnSpPr>
          <a:stCxn id="224" idx="2"/>
          <a:endCxn id="237" idx="0"/>
        </xdr:cNvCxnSpPr>
      </xdr:nvCxnSpPr>
      <xdr:spPr>
        <a:xfrm rot="5400000">
          <a:off x="2572637" y="4189573"/>
          <a:ext cx="581185" cy="115521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27</xdr:row>
      <xdr:rowOff>95250</xdr:rowOff>
    </xdr:from>
    <xdr:to>
      <xdr:col>11</xdr:col>
      <xdr:colOff>161086</xdr:colOff>
      <xdr:row>30</xdr:row>
      <xdr:rowOff>152179</xdr:rowOff>
    </xdr:to>
    <xdr:cxnSp macro="">
      <xdr:nvCxnSpPr>
        <xdr:cNvPr id="94" name="Elbow Connector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CxnSpPr>
          <a:stCxn id="265" idx="2"/>
          <a:endCxn id="283" idx="2"/>
        </xdr:cNvCxnSpPr>
      </xdr:nvCxnSpPr>
      <xdr:spPr>
        <a:xfrm rot="5400000" flipH="1">
          <a:off x="5490853" y="4529447"/>
          <a:ext cx="628429" cy="904036"/>
        </a:xfrm>
        <a:prstGeom prst="bentConnector5">
          <a:avLst>
            <a:gd name="adj1" fmla="val -30314"/>
            <a:gd name="adj2" fmla="val 69275"/>
            <a:gd name="adj3" fmla="val 13637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281141</xdr:colOff>
      <xdr:row>28</xdr:row>
      <xdr:rowOff>152401</xdr:rowOff>
    </xdr:from>
    <xdr:to>
      <xdr:col>9</xdr:col>
      <xdr:colOff>476250</xdr:colOff>
      <xdr:row>37</xdr:row>
      <xdr:rowOff>71363</xdr:rowOff>
    </xdr:to>
    <xdr:cxnSp macro="">
      <xdr:nvCxnSpPr>
        <xdr:cNvPr id="95" name="Elbow Connector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CxnSpPr>
          <a:stCxn id="283" idx="6"/>
          <a:endCxn id="329" idx="3"/>
        </xdr:cNvCxnSpPr>
      </xdr:nvCxnSpPr>
      <xdr:spPr>
        <a:xfrm rot="5400000">
          <a:off x="4133965" y="5329277"/>
          <a:ext cx="1633462" cy="80470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161086</xdr:colOff>
      <xdr:row>23</xdr:row>
      <xdr:rowOff>185194</xdr:rowOff>
    </xdr:from>
    <xdr:to>
      <xdr:col>11</xdr:col>
      <xdr:colOff>552450</xdr:colOff>
      <xdr:row>24</xdr:row>
      <xdr:rowOff>154864</xdr:rowOff>
    </xdr:to>
    <xdr:cxnSp macro="">
      <xdr:nvCxnSpPr>
        <xdr:cNvPr id="96" name="Elbow Connector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CxnSpPr>
          <a:stCxn id="263" idx="0"/>
          <a:endCxn id="467" idx="3"/>
        </xdr:cNvCxnSpPr>
      </xdr:nvCxnSpPr>
      <xdr:spPr>
        <a:xfrm rot="5400000" flipH="1" flipV="1">
          <a:off x="6372683" y="3879597"/>
          <a:ext cx="160170" cy="391364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42782</xdr:colOff>
      <xdr:row>8</xdr:row>
      <xdr:rowOff>180975</xdr:rowOff>
    </xdr:from>
    <xdr:to>
      <xdr:col>19</xdr:col>
      <xdr:colOff>358028</xdr:colOff>
      <xdr:row>9</xdr:row>
      <xdr:rowOff>104775</xdr:rowOff>
    </xdr:to>
    <xdr:cxnSp macro="">
      <xdr:nvCxnSpPr>
        <xdr:cNvPr id="174" name="Elbow Connector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CxnSpPr>
          <a:stCxn id="64" idx="0"/>
          <a:endCxn id="750" idx="2"/>
        </xdr:cNvCxnSpPr>
      </xdr:nvCxnSpPr>
      <xdr:spPr>
        <a:xfrm rot="16200000" flipV="1">
          <a:off x="10811255" y="728202"/>
          <a:ext cx="114300" cy="924846"/>
        </a:xfrm>
        <a:prstGeom prst="bentConnector3">
          <a:avLst>
            <a:gd name="adj1" fmla="val 328181"/>
          </a:avLst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25</xdr:row>
      <xdr:rowOff>128507</xdr:rowOff>
    </xdr:from>
    <xdr:to>
      <xdr:col>7</xdr:col>
      <xdr:colOff>386514</xdr:colOff>
      <xdr:row>28</xdr:row>
      <xdr:rowOff>120197</xdr:rowOff>
    </xdr:to>
    <xdr:cxnSp macro="">
      <xdr:nvCxnSpPr>
        <xdr:cNvPr id="175" name="Elbow Connector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CxnSpPr>
          <a:stCxn id="222" idx="6"/>
          <a:endCxn id="304" idx="3"/>
        </xdr:cNvCxnSpPr>
      </xdr:nvCxnSpPr>
      <xdr:spPr>
        <a:xfrm>
          <a:off x="4286250" y="4767182"/>
          <a:ext cx="205539" cy="563190"/>
        </a:xfrm>
        <a:prstGeom prst="bentConnector3">
          <a:avLst>
            <a:gd name="adj1" fmla="val 4902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390525</xdr:colOff>
      <xdr:row>23</xdr:row>
      <xdr:rowOff>176212</xdr:rowOff>
    </xdr:from>
    <xdr:to>
      <xdr:col>13</xdr:col>
      <xdr:colOff>28576</xdr:colOff>
      <xdr:row>23</xdr:row>
      <xdr:rowOff>182200</xdr:rowOff>
    </xdr:to>
    <xdr:cxnSp macro="">
      <xdr:nvCxnSpPr>
        <xdr:cNvPr id="177" name="Elbow Connector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CxnSpPr>
          <a:stCxn id="470" idx="1"/>
          <a:endCxn id="74" idx="2"/>
        </xdr:cNvCxnSpPr>
      </xdr:nvCxnSpPr>
      <xdr:spPr>
        <a:xfrm flipV="1">
          <a:off x="7096125" y="3986212"/>
          <a:ext cx="247651" cy="598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29</xdr:row>
      <xdr:rowOff>95250</xdr:rowOff>
    </xdr:from>
    <xdr:to>
      <xdr:col>11</xdr:col>
      <xdr:colOff>545167</xdr:colOff>
      <xdr:row>30</xdr:row>
      <xdr:rowOff>57150</xdr:rowOff>
    </xdr:to>
    <xdr:cxnSp macro="">
      <xdr:nvCxnSpPr>
        <xdr:cNvPr id="179" name="Elbow Connector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CxnSpPr>
          <a:stCxn id="267" idx="0"/>
        </xdr:cNvCxnSpPr>
      </xdr:nvCxnSpPr>
      <xdr:spPr>
        <a:xfrm rot="16200000" flipV="1">
          <a:off x="6454309" y="5013791"/>
          <a:ext cx="152400" cy="22131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34181</xdr:colOff>
      <xdr:row>12</xdr:row>
      <xdr:rowOff>140411</xdr:rowOff>
    </xdr:from>
    <xdr:to>
      <xdr:col>8</xdr:col>
      <xdr:colOff>108438</xdr:colOff>
      <xdr:row>16</xdr:row>
      <xdr:rowOff>67053</xdr:rowOff>
    </xdr:to>
    <xdr:cxnSp macro="">
      <xdr:nvCxnSpPr>
        <xdr:cNvPr id="180" name="Elbow Connector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CxnSpPr>
          <a:endCxn id="22" idx="2"/>
        </xdr:cNvCxnSpPr>
      </xdr:nvCxnSpPr>
      <xdr:spPr>
        <a:xfrm rot="16200000" flipH="1">
          <a:off x="3965614" y="2543103"/>
          <a:ext cx="688642" cy="74257"/>
        </a:xfrm>
        <a:prstGeom prst="bentConnector2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433387</xdr:colOff>
      <xdr:row>15</xdr:row>
      <xdr:rowOff>131301</xdr:rowOff>
    </xdr:from>
    <xdr:to>
      <xdr:col>9</xdr:col>
      <xdr:colOff>191903</xdr:colOff>
      <xdr:row>17</xdr:row>
      <xdr:rowOff>57150</xdr:rowOff>
    </xdr:to>
    <xdr:cxnSp macro="">
      <xdr:nvCxnSpPr>
        <xdr:cNvPr id="182" name="Elbow Connector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CxnSpPr>
          <a:stCxn id="651" idx="6"/>
          <a:endCxn id="377" idx="4"/>
        </xdr:cNvCxnSpPr>
      </xdr:nvCxnSpPr>
      <xdr:spPr>
        <a:xfrm rot="5400000" flipH="1" flipV="1">
          <a:off x="4702645" y="2767668"/>
          <a:ext cx="306849" cy="368116"/>
        </a:xfrm>
        <a:prstGeom prst="bentConnector4">
          <a:avLst>
            <a:gd name="adj1" fmla="val -74499"/>
            <a:gd name="adj2" fmla="val 55494"/>
          </a:avLst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428625</xdr:colOff>
      <xdr:row>13</xdr:row>
      <xdr:rowOff>142875</xdr:rowOff>
    </xdr:from>
    <xdr:to>
      <xdr:col>8</xdr:col>
      <xdr:colOff>433387</xdr:colOff>
      <xdr:row>15</xdr:row>
      <xdr:rowOff>66675</xdr:rowOff>
    </xdr:to>
    <xdr:cxnSp macro="">
      <xdr:nvCxnSpPr>
        <xdr:cNvPr id="183" name="Straight Arrow Connector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CxnSpPr>
          <a:stCxn id="652" idx="2"/>
        </xdr:cNvCxnSpPr>
      </xdr:nvCxnSpPr>
      <xdr:spPr>
        <a:xfrm flipH="1" flipV="1">
          <a:off x="4695825" y="2047875"/>
          <a:ext cx="4762" cy="30480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161926</xdr:colOff>
      <xdr:row>23</xdr:row>
      <xdr:rowOff>176212</xdr:rowOff>
    </xdr:from>
    <xdr:to>
      <xdr:col>13</xdr:col>
      <xdr:colOff>495300</xdr:colOff>
      <xdr:row>29</xdr:row>
      <xdr:rowOff>23823</xdr:rowOff>
    </xdr:to>
    <xdr:cxnSp macro="">
      <xdr:nvCxnSpPr>
        <xdr:cNvPr id="190" name="Elbow Connector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CxnSpPr>
          <a:stCxn id="73" idx="6"/>
          <a:endCxn id="361" idx="1"/>
        </xdr:cNvCxnSpPr>
      </xdr:nvCxnSpPr>
      <xdr:spPr>
        <a:xfrm>
          <a:off x="7477126" y="3986212"/>
          <a:ext cx="333374" cy="990611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24</xdr:row>
      <xdr:rowOff>161925</xdr:rowOff>
    </xdr:from>
    <xdr:to>
      <xdr:col>7</xdr:col>
      <xdr:colOff>180975</xdr:colOff>
      <xdr:row>26</xdr:row>
      <xdr:rowOff>95089</xdr:rowOff>
    </xdr:to>
    <xdr:grpSp>
      <xdr:nvGrpSpPr>
        <xdr:cNvPr id="221" name="Group 322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GrpSpPr>
          <a:grpSpLocks/>
        </xdr:cNvGrpSpPr>
      </xdr:nvGrpSpPr>
      <xdr:grpSpPr bwMode="auto">
        <a:xfrm>
          <a:off x="3790950" y="4800600"/>
          <a:ext cx="800100" cy="314164"/>
          <a:chOff x="2933" y="2069"/>
          <a:chExt cx="173" cy="198"/>
        </a:xfrm>
      </xdr:grpSpPr>
      <xdr:sp macro="" textlink="">
        <xdr:nvSpPr>
          <xdr:cNvPr id="222" name="Oval 323">
            <a:extLst>
              <a:ext uri="{FF2B5EF4-FFF2-40B4-BE49-F238E27FC236}">
                <a16:creationId xmlns:a16="http://schemas.microsoft.com/office/drawing/2014/main" id="{00000000-0008-0000-0500-0000DE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39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3" name="Oval 324">
            <a:extLst>
              <a:ext uri="{FF2B5EF4-FFF2-40B4-BE49-F238E27FC236}">
                <a16:creationId xmlns:a16="http://schemas.microsoft.com/office/drawing/2014/main" id="{00000000-0008-0000-0500-0000DF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54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4" name="Rectangle 325">
            <a:extLst>
              <a:ext uri="{FF2B5EF4-FFF2-40B4-BE49-F238E27FC236}">
                <a16:creationId xmlns:a16="http://schemas.microsoft.com/office/drawing/2014/main" id="{00000000-0008-0000-0500-0000E0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19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390526</xdr:colOff>
      <xdr:row>29</xdr:row>
      <xdr:rowOff>104774</xdr:rowOff>
    </xdr:from>
    <xdr:to>
      <xdr:col>4</xdr:col>
      <xdr:colOff>523876</xdr:colOff>
      <xdr:row>29</xdr:row>
      <xdr:rowOff>190499</xdr:rowOff>
    </xdr:to>
    <xdr:grpSp>
      <xdr:nvGrpSpPr>
        <xdr:cNvPr id="234" name="Group 322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GrpSpPr>
          <a:grpSpLocks/>
        </xdr:cNvGrpSpPr>
      </xdr:nvGrpSpPr>
      <xdr:grpSpPr bwMode="auto">
        <a:xfrm>
          <a:off x="2781301" y="5695949"/>
          <a:ext cx="133350" cy="85725"/>
          <a:chOff x="2933" y="2069"/>
          <a:chExt cx="175" cy="59"/>
        </a:xfrm>
      </xdr:grpSpPr>
      <xdr:sp macro="" textlink="">
        <xdr:nvSpPr>
          <xdr:cNvPr id="235" name="Oval 323">
            <a:extLst>
              <a:ext uri="{FF2B5EF4-FFF2-40B4-BE49-F238E27FC236}">
                <a16:creationId xmlns:a16="http://schemas.microsoft.com/office/drawing/2014/main" id="{00000000-0008-0000-0500-0000EB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6" name="Oval 324">
            <a:extLst>
              <a:ext uri="{FF2B5EF4-FFF2-40B4-BE49-F238E27FC236}">
                <a16:creationId xmlns:a16="http://schemas.microsoft.com/office/drawing/2014/main" id="{00000000-0008-0000-0500-0000EC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7" name="Rectangle 325">
            <a:extLst>
              <a:ext uri="{FF2B5EF4-FFF2-40B4-BE49-F238E27FC236}">
                <a16:creationId xmlns:a16="http://schemas.microsoft.com/office/drawing/2014/main" id="{00000000-0008-0000-05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133350</xdr:colOff>
      <xdr:row>32</xdr:row>
      <xdr:rowOff>158648</xdr:rowOff>
    </xdr:from>
    <xdr:to>
      <xdr:col>4</xdr:col>
      <xdr:colOff>138266</xdr:colOff>
      <xdr:row>36</xdr:row>
      <xdr:rowOff>133350</xdr:rowOff>
    </xdr:to>
    <xdr:grpSp>
      <xdr:nvGrpSpPr>
        <xdr:cNvPr id="243" name="Group 591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GrpSpPr>
          <a:grpSpLocks/>
        </xdr:cNvGrpSpPr>
      </xdr:nvGrpSpPr>
      <xdr:grpSpPr bwMode="auto">
        <a:xfrm>
          <a:off x="1914525" y="6321323"/>
          <a:ext cx="614516" cy="736702"/>
          <a:chOff x="997" y="134"/>
          <a:chExt cx="143" cy="138"/>
        </a:xfrm>
      </xdr:grpSpPr>
      <xdr:sp macro="" textlink="">
        <xdr:nvSpPr>
          <xdr:cNvPr id="244" name="Rectangle 587">
            <a:extLst>
              <a:ext uri="{FF2B5EF4-FFF2-40B4-BE49-F238E27FC236}">
                <a16:creationId xmlns:a16="http://schemas.microsoft.com/office/drawing/2014/main" id="{00000000-0008-0000-0500-0000F4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5" name="AutoShape 590">
            <a:extLst>
              <a:ext uri="{FF2B5EF4-FFF2-40B4-BE49-F238E27FC236}">
                <a16:creationId xmlns:a16="http://schemas.microsoft.com/office/drawing/2014/main" id="{00000000-0008-0000-0500-0000F5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238125</xdr:colOff>
      <xdr:row>27</xdr:row>
      <xdr:rowOff>104774</xdr:rowOff>
    </xdr:from>
    <xdr:to>
      <xdr:col>8</xdr:col>
      <xdr:colOff>466725</xdr:colOff>
      <xdr:row>29</xdr:row>
      <xdr:rowOff>107949</xdr:rowOff>
    </xdr:to>
    <xdr:grpSp>
      <xdr:nvGrpSpPr>
        <xdr:cNvPr id="249" name="Group 322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GrpSpPr>
          <a:grpSpLocks/>
        </xdr:cNvGrpSpPr>
      </xdr:nvGrpSpPr>
      <xdr:grpSpPr bwMode="auto">
        <a:xfrm rot="5400000">
          <a:off x="5180012" y="5392737"/>
          <a:ext cx="384175" cy="228600"/>
          <a:chOff x="2933" y="2069"/>
          <a:chExt cx="175" cy="59"/>
        </a:xfrm>
      </xdr:grpSpPr>
      <xdr:sp macro="" textlink="">
        <xdr:nvSpPr>
          <xdr:cNvPr id="250" name="Oval 323">
            <a:extLst>
              <a:ext uri="{FF2B5EF4-FFF2-40B4-BE49-F238E27FC236}">
                <a16:creationId xmlns:a16="http://schemas.microsoft.com/office/drawing/2014/main" id="{00000000-0008-0000-0500-0000FA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1" name="Oval 324">
            <a:extLst>
              <a:ext uri="{FF2B5EF4-FFF2-40B4-BE49-F238E27FC236}">
                <a16:creationId xmlns:a16="http://schemas.microsoft.com/office/drawing/2014/main" id="{00000000-0008-0000-0500-0000FB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2" name="Rectangle 325">
            <a:extLst>
              <a:ext uri="{FF2B5EF4-FFF2-40B4-BE49-F238E27FC236}">
                <a16:creationId xmlns:a16="http://schemas.microsoft.com/office/drawing/2014/main" id="{00000000-0008-0000-0500-0000FC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11</xdr:col>
      <xdr:colOff>50704</xdr:colOff>
      <xdr:row>24</xdr:row>
      <xdr:rowOff>154864</xdr:rowOff>
    </xdr:from>
    <xdr:to>
      <xdr:col>11</xdr:col>
      <xdr:colOff>271468</xdr:colOff>
      <xdr:row>31</xdr:row>
      <xdr:rowOff>9525</xdr:rowOff>
    </xdr:to>
    <xdr:grpSp>
      <xdr:nvGrpSpPr>
        <xdr:cNvPr id="254" name="Group 34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GrpSpPr>
          <a:grpSpLocks/>
        </xdr:cNvGrpSpPr>
      </xdr:nvGrpSpPr>
      <xdr:grpSpPr bwMode="auto">
        <a:xfrm>
          <a:off x="7156354" y="4793539"/>
          <a:ext cx="220764" cy="1188161"/>
          <a:chOff x="146" y="108"/>
          <a:chExt cx="45" cy="149"/>
        </a:xfrm>
      </xdr:grpSpPr>
      <xdr:grpSp>
        <xdr:nvGrpSpPr>
          <xdr:cNvPr id="259" name="Group 348">
            <a:extLst>
              <a:ext uri="{FF2B5EF4-FFF2-40B4-BE49-F238E27FC236}">
                <a16:creationId xmlns:a16="http://schemas.microsoft.com/office/drawing/2014/main" id="{00000000-0008-0000-0500-000003010000}"/>
              </a:ext>
            </a:extLst>
          </xdr:cNvPr>
          <xdr:cNvGrpSpPr>
            <a:grpSpLocks/>
          </xdr:cNvGrpSpPr>
        </xdr:nvGrpSpPr>
        <xdr:grpSpPr bwMode="auto">
          <a:xfrm>
            <a:off x="146" y="108"/>
            <a:ext cx="45" cy="149"/>
            <a:chOff x="146" y="108"/>
            <a:chExt cx="45" cy="149"/>
          </a:xfrm>
        </xdr:grpSpPr>
        <xdr:sp macro="" textlink="">
          <xdr:nvSpPr>
            <xdr:cNvPr id="263" name="Oval 349">
              <a:extLst>
                <a:ext uri="{FF2B5EF4-FFF2-40B4-BE49-F238E27FC236}">
                  <a16:creationId xmlns:a16="http://schemas.microsoft.com/office/drawing/2014/main" id="{00000000-0008-0000-0500-000007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08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4" name="Oval 350">
              <a:extLst>
                <a:ext uri="{FF2B5EF4-FFF2-40B4-BE49-F238E27FC236}">
                  <a16:creationId xmlns:a16="http://schemas.microsoft.com/office/drawing/2014/main" id="{00000000-0008-0000-0500-000008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246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5" name="Rectangle 351">
              <a:extLst>
                <a:ext uri="{FF2B5EF4-FFF2-40B4-BE49-F238E27FC236}">
                  <a16:creationId xmlns:a16="http://schemas.microsoft.com/office/drawing/2014/main" id="{00000000-0008-0000-0500-000009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14"/>
              <a:ext cx="45" cy="137"/>
            </a:xfrm>
            <a:prstGeom prst="rect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260" name="Line 352">
            <a:extLst>
              <a:ext uri="{FF2B5EF4-FFF2-40B4-BE49-F238E27FC236}">
                <a16:creationId xmlns:a16="http://schemas.microsoft.com/office/drawing/2014/main" id="{00000000-0008-0000-0500-00000401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0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1" name="Line 353">
            <a:extLst>
              <a:ext uri="{FF2B5EF4-FFF2-40B4-BE49-F238E27FC236}">
                <a16:creationId xmlns:a16="http://schemas.microsoft.com/office/drawing/2014/main" id="{00000000-0008-0000-0500-00000501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2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2" name="Line 354">
            <a:extLst>
              <a:ext uri="{FF2B5EF4-FFF2-40B4-BE49-F238E27FC236}">
                <a16:creationId xmlns:a16="http://schemas.microsoft.com/office/drawing/2014/main" id="{00000000-0008-0000-0500-00000601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5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428625</xdr:colOff>
      <xdr:row>30</xdr:row>
      <xdr:rowOff>57150</xdr:rowOff>
    </xdr:from>
    <xdr:to>
      <xdr:col>12</xdr:col>
      <xdr:colOff>66675</xdr:colOff>
      <xdr:row>31</xdr:row>
      <xdr:rowOff>114300</xdr:rowOff>
    </xdr:to>
    <xdr:grpSp>
      <xdr:nvGrpSpPr>
        <xdr:cNvPr id="266" name="Group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GrpSpPr/>
      </xdr:nvGrpSpPr>
      <xdr:grpSpPr>
        <a:xfrm>
          <a:off x="7534275" y="5838825"/>
          <a:ext cx="247650" cy="247650"/>
          <a:chOff x="609600" y="11658600"/>
          <a:chExt cx="566738" cy="561975"/>
        </a:xfrm>
      </xdr:grpSpPr>
      <xdr:sp macro="" textlink="">
        <xdr:nvSpPr>
          <xdr:cNvPr id="267" name="Oval 323">
            <a:extLst>
              <a:ext uri="{FF2B5EF4-FFF2-40B4-BE49-F238E27FC236}">
                <a16:creationId xmlns:a16="http://schemas.microsoft.com/office/drawing/2014/main" id="{00000000-0008-0000-0500-00000B01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268" name="Straight Connector 267">
            <a:extLst>
              <a:ext uri="{FF2B5EF4-FFF2-40B4-BE49-F238E27FC236}">
                <a16:creationId xmlns:a16="http://schemas.microsoft.com/office/drawing/2014/main" id="{00000000-0008-0000-0500-00000C01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69" name="Straight Arrow Connector 268">
            <a:extLst>
              <a:ext uri="{FF2B5EF4-FFF2-40B4-BE49-F238E27FC236}">
                <a16:creationId xmlns:a16="http://schemas.microsoft.com/office/drawing/2014/main" id="{00000000-0008-0000-0500-00000D01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70" name="Straight Connector 269">
            <a:extLst>
              <a:ext uri="{FF2B5EF4-FFF2-40B4-BE49-F238E27FC236}">
                <a16:creationId xmlns:a16="http://schemas.microsoft.com/office/drawing/2014/main" id="{00000000-0008-0000-0500-00000E01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361950</xdr:colOff>
      <xdr:row>27</xdr:row>
      <xdr:rowOff>95250</xdr:rowOff>
    </xdr:from>
    <xdr:to>
      <xdr:col>9</xdr:col>
      <xdr:colOff>590550</xdr:colOff>
      <xdr:row>28</xdr:row>
      <xdr:rowOff>152400</xdr:rowOff>
    </xdr:to>
    <xdr:grpSp>
      <xdr:nvGrpSpPr>
        <xdr:cNvPr id="282" name="Group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GrpSpPr/>
      </xdr:nvGrpSpPr>
      <xdr:grpSpPr>
        <a:xfrm rot="5400000">
          <a:off x="6172200" y="5314950"/>
          <a:ext cx="247650" cy="228600"/>
          <a:chOff x="1765300" y="11734800"/>
          <a:chExt cx="533401" cy="561975"/>
        </a:xfrm>
      </xdr:grpSpPr>
      <xdr:sp macro="" textlink="">
        <xdr:nvSpPr>
          <xdr:cNvPr id="283" name="Oval 323">
            <a:extLst>
              <a:ext uri="{FF2B5EF4-FFF2-40B4-BE49-F238E27FC236}">
                <a16:creationId xmlns:a16="http://schemas.microsoft.com/office/drawing/2014/main" id="{00000000-0008-0000-0500-00001B010000}"/>
              </a:ext>
            </a:extLst>
          </xdr:cNvPr>
          <xdr:cNvSpPr>
            <a:spLocks noChangeArrowheads="1"/>
          </xdr:cNvSpPr>
        </xdr:nvSpPr>
        <xdr:spPr bwMode="auto">
          <a:xfrm>
            <a:off x="1765300" y="117348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284" name="Straight Connector 283">
            <a:extLst>
              <a:ext uri="{FF2B5EF4-FFF2-40B4-BE49-F238E27FC236}">
                <a16:creationId xmlns:a16="http://schemas.microsoft.com/office/drawing/2014/main" id="{00000000-0008-0000-0500-00001C010000}"/>
              </a:ext>
            </a:extLst>
          </xdr:cNvPr>
          <xdr:cNvCxnSpPr>
            <a:stCxn id="283" idx="0"/>
          </xdr:cNvCxnSpPr>
        </xdr:nvCxnSpPr>
        <xdr:spPr bwMode="auto">
          <a:xfrm flipH="1">
            <a:off x="2032000" y="11734800"/>
            <a:ext cx="1" cy="1492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85" name="Straight Connector 284">
            <a:extLst>
              <a:ext uri="{FF2B5EF4-FFF2-40B4-BE49-F238E27FC236}">
                <a16:creationId xmlns:a16="http://schemas.microsoft.com/office/drawing/2014/main" id="{00000000-0008-0000-0500-00001D010000}"/>
              </a:ext>
            </a:extLst>
          </xdr:cNvPr>
          <xdr:cNvCxnSpPr/>
        </xdr:nvCxnSpPr>
        <xdr:spPr bwMode="auto">
          <a:xfrm>
            <a:off x="2033588" y="11877675"/>
            <a:ext cx="125412" cy="571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86" name="Straight Connector 285">
            <a:extLst>
              <a:ext uri="{FF2B5EF4-FFF2-40B4-BE49-F238E27FC236}">
                <a16:creationId xmlns:a16="http://schemas.microsoft.com/office/drawing/2014/main" id="{00000000-0008-0000-0500-00001E010000}"/>
              </a:ext>
            </a:extLst>
          </xdr:cNvPr>
          <xdr:cNvCxnSpPr/>
        </xdr:nvCxnSpPr>
        <xdr:spPr bwMode="auto">
          <a:xfrm flipH="1">
            <a:off x="1919288" y="11934825"/>
            <a:ext cx="227012" cy="1762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87" name="Straight Connector 286">
            <a:extLst>
              <a:ext uri="{FF2B5EF4-FFF2-40B4-BE49-F238E27FC236}">
                <a16:creationId xmlns:a16="http://schemas.microsoft.com/office/drawing/2014/main" id="{00000000-0008-0000-0500-00001F010000}"/>
              </a:ext>
            </a:extLst>
          </xdr:cNvPr>
          <xdr:cNvCxnSpPr>
            <a:stCxn id="283" idx="4"/>
          </xdr:cNvCxnSpPr>
        </xdr:nvCxnSpPr>
        <xdr:spPr bwMode="auto">
          <a:xfrm flipH="1" flipV="1">
            <a:off x="2032000" y="12169775"/>
            <a:ext cx="1" cy="12700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88" name="Straight Connector 287">
            <a:extLst>
              <a:ext uri="{FF2B5EF4-FFF2-40B4-BE49-F238E27FC236}">
                <a16:creationId xmlns:a16="http://schemas.microsoft.com/office/drawing/2014/main" id="{00000000-0008-0000-0500-000020010000}"/>
              </a:ext>
            </a:extLst>
          </xdr:cNvPr>
          <xdr:cNvCxnSpPr/>
        </xdr:nvCxnSpPr>
        <xdr:spPr bwMode="auto">
          <a:xfrm flipH="1" flipV="1">
            <a:off x="1905000" y="12109450"/>
            <a:ext cx="127000" cy="603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352424</xdr:colOff>
      <xdr:row>28</xdr:row>
      <xdr:rowOff>28575</xdr:rowOff>
    </xdr:from>
    <xdr:to>
      <xdr:col>9</xdr:col>
      <xdr:colOff>361949</xdr:colOff>
      <xdr:row>29</xdr:row>
      <xdr:rowOff>107950</xdr:rowOff>
    </xdr:to>
    <xdr:cxnSp macro="">
      <xdr:nvCxnSpPr>
        <xdr:cNvPr id="294" name="Elbow Connector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CxnSpPr>
          <a:stCxn id="250" idx="6"/>
          <a:endCxn id="283" idx="4"/>
        </xdr:cNvCxnSpPr>
      </xdr:nvCxnSpPr>
      <xdr:spPr>
        <a:xfrm rot="5400000" flipH="1" flipV="1">
          <a:off x="4794249" y="4616450"/>
          <a:ext cx="269875" cy="619125"/>
        </a:xfrm>
        <a:prstGeom prst="bentConnector4">
          <a:avLst>
            <a:gd name="adj1" fmla="val -84706"/>
            <a:gd name="adj2" fmla="val 5286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28</xdr:row>
      <xdr:rowOff>9525</xdr:rowOff>
    </xdr:from>
    <xdr:to>
      <xdr:col>7</xdr:col>
      <xdr:colOff>514350</xdr:colOff>
      <xdr:row>28</xdr:row>
      <xdr:rowOff>161925</xdr:rowOff>
    </xdr:to>
    <xdr:grpSp>
      <xdr:nvGrpSpPr>
        <xdr:cNvPr id="297" name="Group 95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GrpSpPr>
          <a:grpSpLocks/>
        </xdr:cNvGrpSpPr>
      </xdr:nvGrpSpPr>
      <xdr:grpSpPr bwMode="auto">
        <a:xfrm>
          <a:off x="4781550" y="5410200"/>
          <a:ext cx="142875" cy="152400"/>
          <a:chOff x="8751" y="1601"/>
          <a:chExt cx="38" cy="42"/>
        </a:xfrm>
      </xdr:grpSpPr>
      <xdr:sp macro="" textlink="">
        <xdr:nvSpPr>
          <xdr:cNvPr id="298" name="Rectangle 96">
            <a:extLst>
              <a:ext uri="{FF2B5EF4-FFF2-40B4-BE49-F238E27FC236}">
                <a16:creationId xmlns:a16="http://schemas.microsoft.com/office/drawing/2014/main" id="{00000000-0008-0000-0500-00002A01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99" name="Group 97">
            <a:extLst>
              <a:ext uri="{FF2B5EF4-FFF2-40B4-BE49-F238E27FC236}">
                <a16:creationId xmlns:a16="http://schemas.microsoft.com/office/drawing/2014/main" id="{00000000-0008-0000-0500-00002B01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303" name="AutoShape 98">
              <a:extLst>
                <a:ext uri="{FF2B5EF4-FFF2-40B4-BE49-F238E27FC236}">
                  <a16:creationId xmlns:a16="http://schemas.microsoft.com/office/drawing/2014/main" id="{00000000-0008-0000-0500-00002F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4" name="Rectangle 99">
              <a:extLst>
                <a:ext uri="{FF2B5EF4-FFF2-40B4-BE49-F238E27FC236}">
                  <a16:creationId xmlns:a16="http://schemas.microsoft.com/office/drawing/2014/main" id="{00000000-0008-0000-0500-00003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5" name="Rectangle 100">
              <a:extLst>
                <a:ext uri="{FF2B5EF4-FFF2-40B4-BE49-F238E27FC236}">
                  <a16:creationId xmlns:a16="http://schemas.microsoft.com/office/drawing/2014/main" id="{00000000-0008-0000-0500-00003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300" name="Group 101">
            <a:extLst>
              <a:ext uri="{FF2B5EF4-FFF2-40B4-BE49-F238E27FC236}">
                <a16:creationId xmlns:a16="http://schemas.microsoft.com/office/drawing/2014/main" id="{00000000-0008-0000-0500-00002C01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301" name="Rectangle 102">
              <a:extLst>
                <a:ext uri="{FF2B5EF4-FFF2-40B4-BE49-F238E27FC236}">
                  <a16:creationId xmlns:a16="http://schemas.microsoft.com/office/drawing/2014/main" id="{00000000-0008-0000-0500-00002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2" name="AutoShape 103">
              <a:extLst>
                <a:ext uri="{FF2B5EF4-FFF2-40B4-BE49-F238E27FC236}">
                  <a16:creationId xmlns:a16="http://schemas.microsoft.com/office/drawing/2014/main" id="{00000000-0008-0000-0500-00002E01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5</xdr:col>
      <xdr:colOff>304800</xdr:colOff>
      <xdr:row>25</xdr:row>
      <xdr:rowOff>28575</xdr:rowOff>
    </xdr:from>
    <xdr:to>
      <xdr:col>5</xdr:col>
      <xdr:colOff>447675</xdr:colOff>
      <xdr:row>25</xdr:row>
      <xdr:rowOff>180975</xdr:rowOff>
    </xdr:to>
    <xdr:grpSp>
      <xdr:nvGrpSpPr>
        <xdr:cNvPr id="306" name="Group 9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GrpSpPr>
          <a:grpSpLocks/>
        </xdr:cNvGrpSpPr>
      </xdr:nvGrpSpPr>
      <xdr:grpSpPr bwMode="auto">
        <a:xfrm>
          <a:off x="3495675" y="4857750"/>
          <a:ext cx="142875" cy="152400"/>
          <a:chOff x="8751" y="1601"/>
          <a:chExt cx="38" cy="42"/>
        </a:xfrm>
      </xdr:grpSpPr>
      <xdr:sp macro="" textlink="">
        <xdr:nvSpPr>
          <xdr:cNvPr id="307" name="Rectangle 96">
            <a:extLst>
              <a:ext uri="{FF2B5EF4-FFF2-40B4-BE49-F238E27FC236}">
                <a16:creationId xmlns:a16="http://schemas.microsoft.com/office/drawing/2014/main" id="{00000000-0008-0000-0500-00003301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308" name="Group 97">
            <a:extLst>
              <a:ext uri="{FF2B5EF4-FFF2-40B4-BE49-F238E27FC236}">
                <a16:creationId xmlns:a16="http://schemas.microsoft.com/office/drawing/2014/main" id="{00000000-0008-0000-0500-00003401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312" name="AutoShape 98">
              <a:extLst>
                <a:ext uri="{FF2B5EF4-FFF2-40B4-BE49-F238E27FC236}">
                  <a16:creationId xmlns:a16="http://schemas.microsoft.com/office/drawing/2014/main" id="{00000000-0008-0000-0500-000038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13" name="Rectangle 99">
              <a:extLst>
                <a:ext uri="{FF2B5EF4-FFF2-40B4-BE49-F238E27FC236}">
                  <a16:creationId xmlns:a16="http://schemas.microsoft.com/office/drawing/2014/main" id="{00000000-0008-0000-0500-000039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14" name="Rectangle 100">
              <a:extLst>
                <a:ext uri="{FF2B5EF4-FFF2-40B4-BE49-F238E27FC236}">
                  <a16:creationId xmlns:a16="http://schemas.microsoft.com/office/drawing/2014/main" id="{00000000-0008-0000-0500-00003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309" name="Group 101">
            <a:extLst>
              <a:ext uri="{FF2B5EF4-FFF2-40B4-BE49-F238E27FC236}">
                <a16:creationId xmlns:a16="http://schemas.microsoft.com/office/drawing/2014/main" id="{00000000-0008-0000-0500-00003501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310" name="Rectangle 102">
              <a:extLst>
                <a:ext uri="{FF2B5EF4-FFF2-40B4-BE49-F238E27FC236}">
                  <a16:creationId xmlns:a16="http://schemas.microsoft.com/office/drawing/2014/main" id="{00000000-0008-0000-0500-00003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11" name="AutoShape 103">
              <a:extLst>
                <a:ext uri="{FF2B5EF4-FFF2-40B4-BE49-F238E27FC236}">
                  <a16:creationId xmlns:a16="http://schemas.microsoft.com/office/drawing/2014/main" id="{00000000-0008-0000-0500-00003701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9</xdr:col>
      <xdr:colOff>590550</xdr:colOff>
      <xdr:row>25</xdr:row>
      <xdr:rowOff>8223</xdr:rowOff>
    </xdr:from>
    <xdr:to>
      <xdr:col>11</xdr:col>
      <xdr:colOff>50704</xdr:colOff>
      <xdr:row>28</xdr:row>
      <xdr:rowOff>28575</xdr:rowOff>
    </xdr:to>
    <xdr:cxnSp macro="">
      <xdr:nvCxnSpPr>
        <xdr:cNvPr id="315" name="Elbow Connector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CxnSpPr>
          <a:stCxn id="283" idx="0"/>
          <a:endCxn id="263" idx="2"/>
        </xdr:cNvCxnSpPr>
      </xdr:nvCxnSpPr>
      <xdr:spPr>
        <a:xfrm flipV="1">
          <a:off x="5467350" y="4199223"/>
          <a:ext cx="679354" cy="59185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35</xdr:row>
      <xdr:rowOff>6248</xdr:rowOff>
    </xdr:from>
    <xdr:to>
      <xdr:col>8</xdr:col>
      <xdr:colOff>281141</xdr:colOff>
      <xdr:row>38</xdr:row>
      <xdr:rowOff>180975</xdr:rowOff>
    </xdr:to>
    <xdr:grpSp>
      <xdr:nvGrpSpPr>
        <xdr:cNvPr id="328" name="Group 59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GrpSpPr>
          <a:grpSpLocks/>
        </xdr:cNvGrpSpPr>
      </xdr:nvGrpSpPr>
      <xdr:grpSpPr bwMode="auto">
        <a:xfrm>
          <a:off x="4686300" y="6740423"/>
          <a:ext cx="614516" cy="746227"/>
          <a:chOff x="997" y="134"/>
          <a:chExt cx="143" cy="138"/>
        </a:xfrm>
      </xdr:grpSpPr>
      <xdr:sp macro="" textlink="">
        <xdr:nvSpPr>
          <xdr:cNvPr id="329" name="Rectangle 587">
            <a:extLst>
              <a:ext uri="{FF2B5EF4-FFF2-40B4-BE49-F238E27FC236}">
                <a16:creationId xmlns:a16="http://schemas.microsoft.com/office/drawing/2014/main" id="{00000000-0008-0000-0500-00004901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0" name="AutoShape 590">
            <a:extLst>
              <a:ext uri="{FF2B5EF4-FFF2-40B4-BE49-F238E27FC236}">
                <a16:creationId xmlns:a16="http://schemas.microsoft.com/office/drawing/2014/main" id="{00000000-0008-0000-0500-00004A01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116450</xdr:colOff>
      <xdr:row>35</xdr:row>
      <xdr:rowOff>6248</xdr:rowOff>
    </xdr:from>
    <xdr:to>
      <xdr:col>7</xdr:col>
      <xdr:colOff>587781</xdr:colOff>
      <xdr:row>36</xdr:row>
      <xdr:rowOff>152690</xdr:rowOff>
    </xdr:to>
    <xdr:cxnSp macro="">
      <xdr:nvCxnSpPr>
        <xdr:cNvPr id="331" name="Elbow Connector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CxnSpPr>
          <a:stCxn id="330" idx="0"/>
          <a:endCxn id="332" idx="1"/>
        </xdr:cNvCxnSpPr>
      </xdr:nvCxnSpPr>
      <xdr:spPr>
        <a:xfrm rot="16200000" flipH="1" flipV="1">
          <a:off x="3536445" y="5730253"/>
          <a:ext cx="336942" cy="1080931"/>
        </a:xfrm>
        <a:prstGeom prst="bentConnector4">
          <a:avLst>
            <a:gd name="adj1" fmla="val -67846"/>
            <a:gd name="adj2" fmla="val 6401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24273</xdr:colOff>
      <xdr:row>34</xdr:row>
      <xdr:rowOff>142875</xdr:rowOff>
    </xdr:from>
    <xdr:to>
      <xdr:col>6</xdr:col>
      <xdr:colOff>116450</xdr:colOff>
      <xdr:row>38</xdr:row>
      <xdr:rowOff>162505</xdr:rowOff>
    </xdr:to>
    <xdr:sp macro="" textlink="">
      <xdr:nvSpPr>
        <xdr:cNvPr id="332" name="Rectangle 209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 bwMode="auto">
        <a:xfrm flipH="1">
          <a:off x="3072273" y="6048375"/>
          <a:ext cx="92177" cy="78163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46275"/>
                <a:invGamma/>
              </a:srgbClr>
            </a:gs>
            <a:gs pos="5000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114300</xdr:colOff>
      <xdr:row>20</xdr:row>
      <xdr:rowOff>23737</xdr:rowOff>
    </xdr:from>
    <xdr:to>
      <xdr:col>5</xdr:col>
      <xdr:colOff>304800</xdr:colOff>
      <xdr:row>25</xdr:row>
      <xdr:rowOff>139247</xdr:rowOff>
    </xdr:to>
    <xdr:cxnSp macro="">
      <xdr:nvCxnSpPr>
        <xdr:cNvPr id="346" name="Elbow Connector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CxnSpPr>
          <a:stCxn id="69" idx="6"/>
          <a:endCxn id="313" idx="1"/>
        </xdr:cNvCxnSpPr>
      </xdr:nvCxnSpPr>
      <xdr:spPr>
        <a:xfrm>
          <a:off x="2524125" y="3643237"/>
          <a:ext cx="190500" cy="1068010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495300</xdr:colOff>
      <xdr:row>28</xdr:row>
      <xdr:rowOff>133350</xdr:rowOff>
    </xdr:from>
    <xdr:to>
      <xdr:col>14</xdr:col>
      <xdr:colOff>133350</xdr:colOff>
      <xdr:row>30</xdr:row>
      <xdr:rowOff>6350</xdr:rowOff>
    </xdr:to>
    <xdr:grpSp>
      <xdr:nvGrpSpPr>
        <xdr:cNvPr id="359" name="Group 35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GrpSpPr/>
      </xdr:nvGrpSpPr>
      <xdr:grpSpPr>
        <a:xfrm>
          <a:off x="8934450" y="5534025"/>
          <a:ext cx="247650" cy="254000"/>
          <a:chOff x="7924800" y="3089275"/>
          <a:chExt cx="431800" cy="473075"/>
        </a:xfrm>
      </xdr:grpSpPr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id="{00000000-0008-0000-0500-00006801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61" name="Rectangle 360">
            <a:extLst>
              <a:ext uri="{FF2B5EF4-FFF2-40B4-BE49-F238E27FC236}">
                <a16:creationId xmlns:a16="http://schemas.microsoft.com/office/drawing/2014/main" id="{00000000-0008-0000-0500-00006901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62" name="Line 110">
            <a:extLst>
              <a:ext uri="{FF2B5EF4-FFF2-40B4-BE49-F238E27FC236}">
                <a16:creationId xmlns:a16="http://schemas.microsoft.com/office/drawing/2014/main" id="{00000000-0008-0000-0500-00006A01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3" name="Line 111">
            <a:extLst>
              <a:ext uri="{FF2B5EF4-FFF2-40B4-BE49-F238E27FC236}">
                <a16:creationId xmlns:a16="http://schemas.microsoft.com/office/drawing/2014/main" id="{00000000-0008-0000-0500-00006B01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4" name="Line 112">
            <a:extLst>
              <a:ext uri="{FF2B5EF4-FFF2-40B4-BE49-F238E27FC236}">
                <a16:creationId xmlns:a16="http://schemas.microsoft.com/office/drawing/2014/main" id="{00000000-0008-0000-0500-00006C01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365" name="Straight Connector 364">
            <a:extLst>
              <a:ext uri="{FF2B5EF4-FFF2-40B4-BE49-F238E27FC236}">
                <a16:creationId xmlns:a16="http://schemas.microsoft.com/office/drawing/2014/main" id="{00000000-0008-0000-0500-00006D010000}"/>
              </a:ext>
            </a:extLst>
          </xdr:cNvPr>
          <xdr:cNvCxnSpPr>
            <a:stCxn id="361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66" name="Straight Connector 365">
            <a:extLst>
              <a:ext uri="{FF2B5EF4-FFF2-40B4-BE49-F238E27FC236}">
                <a16:creationId xmlns:a16="http://schemas.microsoft.com/office/drawing/2014/main" id="{00000000-0008-0000-0500-00006E01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191654</xdr:colOff>
      <xdr:row>14</xdr:row>
      <xdr:rowOff>188544</xdr:rowOff>
    </xdr:from>
    <xdr:to>
      <xdr:col>9</xdr:col>
      <xdr:colOff>436880</xdr:colOff>
      <xdr:row>16</xdr:row>
      <xdr:rowOff>58407</xdr:rowOff>
    </xdr:to>
    <xdr:grpSp>
      <xdr:nvGrpSpPr>
        <xdr:cNvPr id="376" name="Group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GrpSpPr/>
      </xdr:nvGrpSpPr>
      <xdr:grpSpPr>
        <a:xfrm rot="5180462">
          <a:off x="6008610" y="2858363"/>
          <a:ext cx="250863" cy="245226"/>
          <a:chOff x="1765300" y="11734800"/>
          <a:chExt cx="533401" cy="561975"/>
        </a:xfrm>
      </xdr:grpSpPr>
      <xdr:sp macro="" textlink="">
        <xdr:nvSpPr>
          <xdr:cNvPr id="377" name="Oval 323">
            <a:extLst>
              <a:ext uri="{FF2B5EF4-FFF2-40B4-BE49-F238E27FC236}">
                <a16:creationId xmlns:a16="http://schemas.microsoft.com/office/drawing/2014/main" id="{00000000-0008-0000-0500-000079010000}"/>
              </a:ext>
            </a:extLst>
          </xdr:cNvPr>
          <xdr:cNvSpPr>
            <a:spLocks noChangeArrowheads="1"/>
          </xdr:cNvSpPr>
        </xdr:nvSpPr>
        <xdr:spPr bwMode="auto">
          <a:xfrm>
            <a:off x="1765300" y="117348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78" name="Straight Connector 377">
            <a:extLst>
              <a:ext uri="{FF2B5EF4-FFF2-40B4-BE49-F238E27FC236}">
                <a16:creationId xmlns:a16="http://schemas.microsoft.com/office/drawing/2014/main" id="{00000000-0008-0000-0500-00007A010000}"/>
              </a:ext>
            </a:extLst>
          </xdr:cNvPr>
          <xdr:cNvCxnSpPr>
            <a:stCxn id="377" idx="0"/>
          </xdr:cNvCxnSpPr>
        </xdr:nvCxnSpPr>
        <xdr:spPr bwMode="auto">
          <a:xfrm flipH="1">
            <a:off x="2032000" y="11734800"/>
            <a:ext cx="1" cy="1492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79" name="Straight Connector 378">
            <a:extLst>
              <a:ext uri="{FF2B5EF4-FFF2-40B4-BE49-F238E27FC236}">
                <a16:creationId xmlns:a16="http://schemas.microsoft.com/office/drawing/2014/main" id="{00000000-0008-0000-0500-00007B010000}"/>
              </a:ext>
            </a:extLst>
          </xdr:cNvPr>
          <xdr:cNvCxnSpPr/>
        </xdr:nvCxnSpPr>
        <xdr:spPr bwMode="auto">
          <a:xfrm>
            <a:off x="2033588" y="11877675"/>
            <a:ext cx="125412" cy="571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80" name="Straight Connector 379">
            <a:extLst>
              <a:ext uri="{FF2B5EF4-FFF2-40B4-BE49-F238E27FC236}">
                <a16:creationId xmlns:a16="http://schemas.microsoft.com/office/drawing/2014/main" id="{00000000-0008-0000-0500-00007C010000}"/>
              </a:ext>
            </a:extLst>
          </xdr:cNvPr>
          <xdr:cNvCxnSpPr/>
        </xdr:nvCxnSpPr>
        <xdr:spPr bwMode="auto">
          <a:xfrm flipH="1">
            <a:off x="1919288" y="11934825"/>
            <a:ext cx="227012" cy="1762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81" name="Straight Connector 380">
            <a:extLst>
              <a:ext uri="{FF2B5EF4-FFF2-40B4-BE49-F238E27FC236}">
                <a16:creationId xmlns:a16="http://schemas.microsoft.com/office/drawing/2014/main" id="{00000000-0008-0000-0500-00007D010000}"/>
              </a:ext>
            </a:extLst>
          </xdr:cNvPr>
          <xdr:cNvCxnSpPr>
            <a:stCxn id="377" idx="4"/>
          </xdr:cNvCxnSpPr>
        </xdr:nvCxnSpPr>
        <xdr:spPr bwMode="auto">
          <a:xfrm flipH="1" flipV="1">
            <a:off x="2032000" y="12169775"/>
            <a:ext cx="1" cy="12700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82" name="Straight Connector 381">
            <a:extLst>
              <a:ext uri="{FF2B5EF4-FFF2-40B4-BE49-F238E27FC236}">
                <a16:creationId xmlns:a16="http://schemas.microsoft.com/office/drawing/2014/main" id="{00000000-0008-0000-0500-00007E010000}"/>
              </a:ext>
            </a:extLst>
          </xdr:cNvPr>
          <xdr:cNvCxnSpPr/>
        </xdr:nvCxnSpPr>
        <xdr:spPr bwMode="auto">
          <a:xfrm flipH="1" flipV="1">
            <a:off x="1905000" y="12109450"/>
            <a:ext cx="127000" cy="603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552450</xdr:colOff>
      <xdr:row>23</xdr:row>
      <xdr:rowOff>123825</xdr:rowOff>
    </xdr:from>
    <xdr:to>
      <xdr:col>12</xdr:col>
      <xdr:colOff>390525</xdr:colOff>
      <xdr:row>24</xdr:row>
      <xdr:rowOff>142875</xdr:rowOff>
    </xdr:to>
    <xdr:grpSp>
      <xdr:nvGrpSpPr>
        <xdr:cNvPr id="465" name="Group 122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GrpSpPr>
          <a:grpSpLocks/>
        </xdr:cNvGrpSpPr>
      </xdr:nvGrpSpPr>
      <xdr:grpSpPr bwMode="auto">
        <a:xfrm flipH="1">
          <a:off x="7658100" y="4572000"/>
          <a:ext cx="447675" cy="209550"/>
          <a:chOff x="982" y="878"/>
          <a:chExt cx="215" cy="70"/>
        </a:xfrm>
      </xdr:grpSpPr>
      <xdr:grpSp>
        <xdr:nvGrpSpPr>
          <xdr:cNvPr id="466" name="Group 123">
            <a:extLst>
              <a:ext uri="{FF2B5EF4-FFF2-40B4-BE49-F238E27FC236}">
                <a16:creationId xmlns:a16="http://schemas.microsoft.com/office/drawing/2014/main" id="{00000000-0008-0000-0500-0000D201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468" name="Group 124">
              <a:extLst>
                <a:ext uri="{FF2B5EF4-FFF2-40B4-BE49-F238E27FC236}">
                  <a16:creationId xmlns:a16="http://schemas.microsoft.com/office/drawing/2014/main" id="{00000000-0008-0000-0500-0000D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484" name="Group 125">
                <a:extLst>
                  <a:ext uri="{FF2B5EF4-FFF2-40B4-BE49-F238E27FC236}">
                    <a16:creationId xmlns:a16="http://schemas.microsoft.com/office/drawing/2014/main" id="{00000000-0008-0000-0500-0000E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516" name="Group 126">
                  <a:extLst>
                    <a:ext uri="{FF2B5EF4-FFF2-40B4-BE49-F238E27FC236}">
                      <a16:creationId xmlns:a16="http://schemas.microsoft.com/office/drawing/2014/main" id="{00000000-0008-0000-0500-000004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26" name="Line 127">
                    <a:extLst>
                      <a:ext uri="{FF2B5EF4-FFF2-40B4-BE49-F238E27FC236}">
                        <a16:creationId xmlns:a16="http://schemas.microsoft.com/office/drawing/2014/main" id="{00000000-0008-0000-0500-00000E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27" name="Line 128">
                    <a:extLst>
                      <a:ext uri="{FF2B5EF4-FFF2-40B4-BE49-F238E27FC236}">
                        <a16:creationId xmlns:a16="http://schemas.microsoft.com/office/drawing/2014/main" id="{00000000-0008-0000-0500-00000F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17" name="Group 129">
                  <a:extLst>
                    <a:ext uri="{FF2B5EF4-FFF2-40B4-BE49-F238E27FC236}">
                      <a16:creationId xmlns:a16="http://schemas.microsoft.com/office/drawing/2014/main" id="{00000000-0008-0000-0500-000005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24" name="Line 130">
                    <a:extLst>
                      <a:ext uri="{FF2B5EF4-FFF2-40B4-BE49-F238E27FC236}">
                        <a16:creationId xmlns:a16="http://schemas.microsoft.com/office/drawing/2014/main" id="{00000000-0008-0000-0500-00000C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25" name="Line 131">
                    <a:extLst>
                      <a:ext uri="{FF2B5EF4-FFF2-40B4-BE49-F238E27FC236}">
                        <a16:creationId xmlns:a16="http://schemas.microsoft.com/office/drawing/2014/main" id="{00000000-0008-0000-0500-00000D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18" name="Group 132">
                  <a:extLst>
                    <a:ext uri="{FF2B5EF4-FFF2-40B4-BE49-F238E27FC236}">
                      <a16:creationId xmlns:a16="http://schemas.microsoft.com/office/drawing/2014/main" id="{00000000-0008-0000-0500-000006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22" name="Line 133">
                    <a:extLst>
                      <a:ext uri="{FF2B5EF4-FFF2-40B4-BE49-F238E27FC236}">
                        <a16:creationId xmlns:a16="http://schemas.microsoft.com/office/drawing/2014/main" id="{00000000-0008-0000-0500-00000A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23" name="Line 134">
                    <a:extLst>
                      <a:ext uri="{FF2B5EF4-FFF2-40B4-BE49-F238E27FC236}">
                        <a16:creationId xmlns:a16="http://schemas.microsoft.com/office/drawing/2014/main" id="{00000000-0008-0000-0500-00000B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19" name="Group 135">
                  <a:extLst>
                    <a:ext uri="{FF2B5EF4-FFF2-40B4-BE49-F238E27FC236}">
                      <a16:creationId xmlns:a16="http://schemas.microsoft.com/office/drawing/2014/main" id="{00000000-0008-0000-0500-000007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20" name="Line 136">
                    <a:extLst>
                      <a:ext uri="{FF2B5EF4-FFF2-40B4-BE49-F238E27FC236}">
                        <a16:creationId xmlns:a16="http://schemas.microsoft.com/office/drawing/2014/main" id="{00000000-0008-0000-0500-000008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21" name="Line 137">
                    <a:extLst>
                      <a:ext uri="{FF2B5EF4-FFF2-40B4-BE49-F238E27FC236}">
                        <a16:creationId xmlns:a16="http://schemas.microsoft.com/office/drawing/2014/main" id="{00000000-0008-0000-0500-000009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485" name="Group 138">
                <a:extLst>
                  <a:ext uri="{FF2B5EF4-FFF2-40B4-BE49-F238E27FC236}">
                    <a16:creationId xmlns:a16="http://schemas.microsoft.com/office/drawing/2014/main" id="{00000000-0008-0000-0500-0000E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504" name="Group 139">
                  <a:extLst>
                    <a:ext uri="{FF2B5EF4-FFF2-40B4-BE49-F238E27FC236}">
                      <a16:creationId xmlns:a16="http://schemas.microsoft.com/office/drawing/2014/main" id="{00000000-0008-0000-0500-0000F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14" name="Line 140">
                    <a:extLst>
                      <a:ext uri="{FF2B5EF4-FFF2-40B4-BE49-F238E27FC236}">
                        <a16:creationId xmlns:a16="http://schemas.microsoft.com/office/drawing/2014/main" id="{00000000-0008-0000-0500-000002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15" name="Line 141">
                    <a:extLst>
                      <a:ext uri="{FF2B5EF4-FFF2-40B4-BE49-F238E27FC236}">
                        <a16:creationId xmlns:a16="http://schemas.microsoft.com/office/drawing/2014/main" id="{00000000-0008-0000-0500-000003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05" name="Group 142">
                  <a:extLst>
                    <a:ext uri="{FF2B5EF4-FFF2-40B4-BE49-F238E27FC236}">
                      <a16:creationId xmlns:a16="http://schemas.microsoft.com/office/drawing/2014/main" id="{00000000-0008-0000-0500-0000F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12" name="Line 143">
                    <a:extLst>
                      <a:ext uri="{FF2B5EF4-FFF2-40B4-BE49-F238E27FC236}">
                        <a16:creationId xmlns:a16="http://schemas.microsoft.com/office/drawing/2014/main" id="{00000000-0008-0000-0500-000000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13" name="Line 144">
                    <a:extLst>
                      <a:ext uri="{FF2B5EF4-FFF2-40B4-BE49-F238E27FC236}">
                        <a16:creationId xmlns:a16="http://schemas.microsoft.com/office/drawing/2014/main" id="{00000000-0008-0000-0500-000001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06" name="Group 145">
                  <a:extLst>
                    <a:ext uri="{FF2B5EF4-FFF2-40B4-BE49-F238E27FC236}">
                      <a16:creationId xmlns:a16="http://schemas.microsoft.com/office/drawing/2014/main" id="{00000000-0008-0000-0500-0000FA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10" name="Line 146">
                    <a:extLst>
                      <a:ext uri="{FF2B5EF4-FFF2-40B4-BE49-F238E27FC236}">
                        <a16:creationId xmlns:a16="http://schemas.microsoft.com/office/drawing/2014/main" id="{00000000-0008-0000-0500-0000FE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11" name="Line 147">
                    <a:extLst>
                      <a:ext uri="{FF2B5EF4-FFF2-40B4-BE49-F238E27FC236}">
                        <a16:creationId xmlns:a16="http://schemas.microsoft.com/office/drawing/2014/main" id="{00000000-0008-0000-0500-0000FF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07" name="Group 148">
                  <a:extLst>
                    <a:ext uri="{FF2B5EF4-FFF2-40B4-BE49-F238E27FC236}">
                      <a16:creationId xmlns:a16="http://schemas.microsoft.com/office/drawing/2014/main" id="{00000000-0008-0000-0500-0000F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08" name="Line 149">
                    <a:extLst>
                      <a:ext uri="{FF2B5EF4-FFF2-40B4-BE49-F238E27FC236}">
                        <a16:creationId xmlns:a16="http://schemas.microsoft.com/office/drawing/2014/main" id="{00000000-0008-0000-0500-0000FC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09" name="Line 150">
                    <a:extLst>
                      <a:ext uri="{FF2B5EF4-FFF2-40B4-BE49-F238E27FC236}">
                        <a16:creationId xmlns:a16="http://schemas.microsoft.com/office/drawing/2014/main" id="{00000000-0008-0000-0500-0000FD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486" name="Group 151">
                <a:extLst>
                  <a:ext uri="{FF2B5EF4-FFF2-40B4-BE49-F238E27FC236}">
                    <a16:creationId xmlns:a16="http://schemas.microsoft.com/office/drawing/2014/main" id="{00000000-0008-0000-0500-0000E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488" name="Group 152">
                  <a:extLst>
                    <a:ext uri="{FF2B5EF4-FFF2-40B4-BE49-F238E27FC236}">
                      <a16:creationId xmlns:a16="http://schemas.microsoft.com/office/drawing/2014/main" id="{00000000-0008-0000-0500-0000E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02" name="Line 153">
                    <a:extLst>
                      <a:ext uri="{FF2B5EF4-FFF2-40B4-BE49-F238E27FC236}">
                        <a16:creationId xmlns:a16="http://schemas.microsoft.com/office/drawing/2014/main" id="{00000000-0008-0000-0500-0000F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03" name="Line 154">
                    <a:extLst>
                      <a:ext uri="{FF2B5EF4-FFF2-40B4-BE49-F238E27FC236}">
                        <a16:creationId xmlns:a16="http://schemas.microsoft.com/office/drawing/2014/main" id="{00000000-0008-0000-0500-0000F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89" name="Group 155">
                  <a:extLst>
                    <a:ext uri="{FF2B5EF4-FFF2-40B4-BE49-F238E27FC236}">
                      <a16:creationId xmlns:a16="http://schemas.microsoft.com/office/drawing/2014/main" id="{00000000-0008-0000-0500-0000E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00" name="Line 156">
                    <a:extLst>
                      <a:ext uri="{FF2B5EF4-FFF2-40B4-BE49-F238E27FC236}">
                        <a16:creationId xmlns:a16="http://schemas.microsoft.com/office/drawing/2014/main" id="{00000000-0008-0000-0500-0000F4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01" name="Line 157">
                    <a:extLst>
                      <a:ext uri="{FF2B5EF4-FFF2-40B4-BE49-F238E27FC236}">
                        <a16:creationId xmlns:a16="http://schemas.microsoft.com/office/drawing/2014/main" id="{00000000-0008-0000-0500-0000F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90" name="Group 158">
                  <a:extLst>
                    <a:ext uri="{FF2B5EF4-FFF2-40B4-BE49-F238E27FC236}">
                      <a16:creationId xmlns:a16="http://schemas.microsoft.com/office/drawing/2014/main" id="{00000000-0008-0000-0500-0000EA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98" name="Line 159">
                    <a:extLst>
                      <a:ext uri="{FF2B5EF4-FFF2-40B4-BE49-F238E27FC236}">
                        <a16:creationId xmlns:a16="http://schemas.microsoft.com/office/drawing/2014/main" id="{00000000-0008-0000-0500-0000F2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99" name="Line 160">
                    <a:extLst>
                      <a:ext uri="{FF2B5EF4-FFF2-40B4-BE49-F238E27FC236}">
                        <a16:creationId xmlns:a16="http://schemas.microsoft.com/office/drawing/2014/main" id="{00000000-0008-0000-0500-0000F3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91" name="Group 161">
                  <a:extLst>
                    <a:ext uri="{FF2B5EF4-FFF2-40B4-BE49-F238E27FC236}">
                      <a16:creationId xmlns:a16="http://schemas.microsoft.com/office/drawing/2014/main" id="{00000000-0008-0000-0500-0000E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96" name="Line 162">
                    <a:extLst>
                      <a:ext uri="{FF2B5EF4-FFF2-40B4-BE49-F238E27FC236}">
                        <a16:creationId xmlns:a16="http://schemas.microsoft.com/office/drawing/2014/main" id="{00000000-0008-0000-0500-0000F0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97" name="Line 163">
                    <a:extLst>
                      <a:ext uri="{FF2B5EF4-FFF2-40B4-BE49-F238E27FC236}">
                        <a16:creationId xmlns:a16="http://schemas.microsoft.com/office/drawing/2014/main" id="{00000000-0008-0000-0500-0000F1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92" name="Group 164">
                  <a:extLst>
                    <a:ext uri="{FF2B5EF4-FFF2-40B4-BE49-F238E27FC236}">
                      <a16:creationId xmlns:a16="http://schemas.microsoft.com/office/drawing/2014/main" id="{00000000-0008-0000-0500-0000EC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94" name="Line 165">
                    <a:extLst>
                      <a:ext uri="{FF2B5EF4-FFF2-40B4-BE49-F238E27FC236}">
                        <a16:creationId xmlns:a16="http://schemas.microsoft.com/office/drawing/2014/main" id="{00000000-0008-0000-0500-0000EE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95" name="Line 166">
                    <a:extLst>
                      <a:ext uri="{FF2B5EF4-FFF2-40B4-BE49-F238E27FC236}">
                        <a16:creationId xmlns:a16="http://schemas.microsoft.com/office/drawing/2014/main" id="{00000000-0008-0000-0500-0000EF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493" name="Line 167">
                  <a:extLst>
                    <a:ext uri="{FF2B5EF4-FFF2-40B4-BE49-F238E27FC236}">
                      <a16:creationId xmlns:a16="http://schemas.microsoft.com/office/drawing/2014/main" id="{00000000-0008-0000-0500-0000ED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487" name="Line 168">
                <a:extLst>
                  <a:ext uri="{FF2B5EF4-FFF2-40B4-BE49-F238E27FC236}">
                    <a16:creationId xmlns:a16="http://schemas.microsoft.com/office/drawing/2014/main" id="{00000000-0008-0000-0500-0000E7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469" name="Group 169">
              <a:extLst>
                <a:ext uri="{FF2B5EF4-FFF2-40B4-BE49-F238E27FC236}">
                  <a16:creationId xmlns:a16="http://schemas.microsoft.com/office/drawing/2014/main" id="{00000000-0008-0000-0500-0000D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470" name="Rectangle 170">
                <a:extLst>
                  <a:ext uri="{FF2B5EF4-FFF2-40B4-BE49-F238E27FC236}">
                    <a16:creationId xmlns:a16="http://schemas.microsoft.com/office/drawing/2014/main" id="{00000000-0008-0000-0500-0000D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val="969696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grpSp>
            <xdr:nvGrpSpPr>
              <xdr:cNvPr id="471" name="Group 171">
                <a:extLst>
                  <a:ext uri="{FF2B5EF4-FFF2-40B4-BE49-F238E27FC236}">
                    <a16:creationId xmlns:a16="http://schemas.microsoft.com/office/drawing/2014/main" id="{00000000-0008-0000-0500-0000D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472" name="Oval 172">
                  <a:extLst>
                    <a:ext uri="{FF2B5EF4-FFF2-40B4-BE49-F238E27FC236}">
                      <a16:creationId xmlns:a16="http://schemas.microsoft.com/office/drawing/2014/main" id="{00000000-0008-0000-0500-0000D8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val="767676">
                        <a:gamma/>
                        <a:shade val="46275"/>
                        <a:invGamma/>
                      </a:srgbClr>
                    </a:gs>
                    <a:gs pos="50000">
                      <a:srgbClr val="FFFFFF"/>
                    </a:gs>
                    <a:gs pos="100000">
                      <a:srgbClr val="767676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473" name="Group 173">
                  <a:extLst>
                    <a:ext uri="{FF2B5EF4-FFF2-40B4-BE49-F238E27FC236}">
                      <a16:creationId xmlns:a16="http://schemas.microsoft.com/office/drawing/2014/main" id="{00000000-0008-0000-0500-0000D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478" name="Group 174">
                    <a:extLst>
                      <a:ext uri="{FF2B5EF4-FFF2-40B4-BE49-F238E27FC236}">
                        <a16:creationId xmlns:a16="http://schemas.microsoft.com/office/drawing/2014/main" id="{00000000-0008-0000-0500-0000DE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482" name="Oval 175">
                      <a:extLst>
                        <a:ext uri="{FF2B5EF4-FFF2-40B4-BE49-F238E27FC236}">
                          <a16:creationId xmlns:a16="http://schemas.microsoft.com/office/drawing/2014/main" id="{00000000-0008-0000-0500-0000E2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483" name="AutoShape 176">
                      <a:extLst>
                        <a:ext uri="{FF2B5EF4-FFF2-40B4-BE49-F238E27FC236}">
                          <a16:creationId xmlns:a16="http://schemas.microsoft.com/office/drawing/2014/main" id="{00000000-0008-0000-0500-0000E3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479" name="Group 177">
                    <a:extLst>
                      <a:ext uri="{FF2B5EF4-FFF2-40B4-BE49-F238E27FC236}">
                        <a16:creationId xmlns:a16="http://schemas.microsoft.com/office/drawing/2014/main" id="{00000000-0008-0000-0500-0000DF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480" name="Oval 178">
                      <a:extLst>
                        <a:ext uri="{FF2B5EF4-FFF2-40B4-BE49-F238E27FC236}">
                          <a16:creationId xmlns:a16="http://schemas.microsoft.com/office/drawing/2014/main" id="{00000000-0008-0000-0500-0000E0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481" name="AutoShape 179">
                      <a:extLst>
                        <a:ext uri="{FF2B5EF4-FFF2-40B4-BE49-F238E27FC236}">
                          <a16:creationId xmlns:a16="http://schemas.microsoft.com/office/drawing/2014/main" id="{00000000-0008-0000-0500-0000E1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474" name="Line 180">
                  <a:extLst>
                    <a:ext uri="{FF2B5EF4-FFF2-40B4-BE49-F238E27FC236}">
                      <a16:creationId xmlns:a16="http://schemas.microsoft.com/office/drawing/2014/main" id="{00000000-0008-0000-0500-0000D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475" name="Group 181">
                  <a:extLst>
                    <a:ext uri="{FF2B5EF4-FFF2-40B4-BE49-F238E27FC236}">
                      <a16:creationId xmlns:a16="http://schemas.microsoft.com/office/drawing/2014/main" id="{00000000-0008-0000-0500-0000D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476" name="Oval 182">
                    <a:extLst>
                      <a:ext uri="{FF2B5EF4-FFF2-40B4-BE49-F238E27FC236}">
                        <a16:creationId xmlns:a16="http://schemas.microsoft.com/office/drawing/2014/main" id="{00000000-0008-0000-0500-0000DC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477" name="Rectangle 183">
                    <a:extLst>
                      <a:ext uri="{FF2B5EF4-FFF2-40B4-BE49-F238E27FC236}">
                        <a16:creationId xmlns:a16="http://schemas.microsoft.com/office/drawing/2014/main" id="{00000000-0008-0000-0500-0000DD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467" name="Rectangle 184">
            <a:extLst>
              <a:ext uri="{FF2B5EF4-FFF2-40B4-BE49-F238E27FC236}">
                <a16:creationId xmlns:a16="http://schemas.microsoft.com/office/drawing/2014/main" id="{00000000-0008-0000-0500-0000D301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323850</xdr:colOff>
      <xdr:row>13</xdr:row>
      <xdr:rowOff>133350</xdr:rowOff>
    </xdr:from>
    <xdr:to>
      <xdr:col>6</xdr:col>
      <xdr:colOff>161925</xdr:colOff>
      <xdr:row>14</xdr:row>
      <xdr:rowOff>152400</xdr:rowOff>
    </xdr:to>
    <xdr:grpSp>
      <xdr:nvGrpSpPr>
        <xdr:cNvPr id="542" name="Group 122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GrpSpPr>
          <a:grpSpLocks/>
        </xdr:cNvGrpSpPr>
      </xdr:nvGrpSpPr>
      <xdr:grpSpPr bwMode="auto">
        <a:xfrm flipH="1">
          <a:off x="3514725" y="2609850"/>
          <a:ext cx="447675" cy="209550"/>
          <a:chOff x="982" y="878"/>
          <a:chExt cx="215" cy="70"/>
        </a:xfrm>
      </xdr:grpSpPr>
      <xdr:grpSp>
        <xdr:nvGrpSpPr>
          <xdr:cNvPr id="543" name="Group 123">
            <a:extLst>
              <a:ext uri="{FF2B5EF4-FFF2-40B4-BE49-F238E27FC236}">
                <a16:creationId xmlns:a16="http://schemas.microsoft.com/office/drawing/2014/main" id="{00000000-0008-0000-0500-00001F02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545" name="Group 124">
              <a:extLst>
                <a:ext uri="{FF2B5EF4-FFF2-40B4-BE49-F238E27FC236}">
                  <a16:creationId xmlns:a16="http://schemas.microsoft.com/office/drawing/2014/main" id="{00000000-0008-0000-0500-00002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561" name="Group 125">
                <a:extLst>
                  <a:ext uri="{FF2B5EF4-FFF2-40B4-BE49-F238E27FC236}">
                    <a16:creationId xmlns:a16="http://schemas.microsoft.com/office/drawing/2014/main" id="{00000000-0008-0000-0500-000031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593" name="Group 126">
                  <a:extLst>
                    <a:ext uri="{FF2B5EF4-FFF2-40B4-BE49-F238E27FC236}">
                      <a16:creationId xmlns:a16="http://schemas.microsoft.com/office/drawing/2014/main" id="{00000000-0008-0000-0500-000051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603" name="Line 127">
                    <a:extLst>
                      <a:ext uri="{FF2B5EF4-FFF2-40B4-BE49-F238E27FC236}">
                        <a16:creationId xmlns:a16="http://schemas.microsoft.com/office/drawing/2014/main" id="{00000000-0008-0000-0500-00005B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04" name="Line 128">
                    <a:extLst>
                      <a:ext uri="{FF2B5EF4-FFF2-40B4-BE49-F238E27FC236}">
                        <a16:creationId xmlns:a16="http://schemas.microsoft.com/office/drawing/2014/main" id="{00000000-0008-0000-0500-00005C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94" name="Group 129">
                  <a:extLst>
                    <a:ext uri="{FF2B5EF4-FFF2-40B4-BE49-F238E27FC236}">
                      <a16:creationId xmlns:a16="http://schemas.microsoft.com/office/drawing/2014/main" id="{00000000-0008-0000-0500-000052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601" name="Line 130">
                    <a:extLst>
                      <a:ext uri="{FF2B5EF4-FFF2-40B4-BE49-F238E27FC236}">
                        <a16:creationId xmlns:a16="http://schemas.microsoft.com/office/drawing/2014/main" id="{00000000-0008-0000-0500-000059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02" name="Line 131">
                    <a:extLst>
                      <a:ext uri="{FF2B5EF4-FFF2-40B4-BE49-F238E27FC236}">
                        <a16:creationId xmlns:a16="http://schemas.microsoft.com/office/drawing/2014/main" id="{00000000-0008-0000-0500-00005A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95" name="Group 132">
                  <a:extLst>
                    <a:ext uri="{FF2B5EF4-FFF2-40B4-BE49-F238E27FC236}">
                      <a16:creationId xmlns:a16="http://schemas.microsoft.com/office/drawing/2014/main" id="{00000000-0008-0000-0500-000053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99" name="Line 133">
                    <a:extLst>
                      <a:ext uri="{FF2B5EF4-FFF2-40B4-BE49-F238E27FC236}">
                        <a16:creationId xmlns:a16="http://schemas.microsoft.com/office/drawing/2014/main" id="{00000000-0008-0000-0500-000057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00" name="Line 134">
                    <a:extLst>
                      <a:ext uri="{FF2B5EF4-FFF2-40B4-BE49-F238E27FC236}">
                        <a16:creationId xmlns:a16="http://schemas.microsoft.com/office/drawing/2014/main" id="{00000000-0008-0000-0500-000058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96" name="Group 135">
                  <a:extLst>
                    <a:ext uri="{FF2B5EF4-FFF2-40B4-BE49-F238E27FC236}">
                      <a16:creationId xmlns:a16="http://schemas.microsoft.com/office/drawing/2014/main" id="{00000000-0008-0000-0500-000054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97" name="Line 136">
                    <a:extLst>
                      <a:ext uri="{FF2B5EF4-FFF2-40B4-BE49-F238E27FC236}">
                        <a16:creationId xmlns:a16="http://schemas.microsoft.com/office/drawing/2014/main" id="{00000000-0008-0000-0500-000055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98" name="Line 137">
                    <a:extLst>
                      <a:ext uri="{FF2B5EF4-FFF2-40B4-BE49-F238E27FC236}">
                        <a16:creationId xmlns:a16="http://schemas.microsoft.com/office/drawing/2014/main" id="{00000000-0008-0000-0500-000056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562" name="Group 138">
                <a:extLst>
                  <a:ext uri="{FF2B5EF4-FFF2-40B4-BE49-F238E27FC236}">
                    <a16:creationId xmlns:a16="http://schemas.microsoft.com/office/drawing/2014/main" id="{00000000-0008-0000-0500-000032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581" name="Group 139">
                  <a:extLst>
                    <a:ext uri="{FF2B5EF4-FFF2-40B4-BE49-F238E27FC236}">
                      <a16:creationId xmlns:a16="http://schemas.microsoft.com/office/drawing/2014/main" id="{00000000-0008-0000-0500-000045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91" name="Line 140">
                    <a:extLst>
                      <a:ext uri="{FF2B5EF4-FFF2-40B4-BE49-F238E27FC236}">
                        <a16:creationId xmlns:a16="http://schemas.microsoft.com/office/drawing/2014/main" id="{00000000-0008-0000-0500-00004F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92" name="Line 141">
                    <a:extLst>
                      <a:ext uri="{FF2B5EF4-FFF2-40B4-BE49-F238E27FC236}">
                        <a16:creationId xmlns:a16="http://schemas.microsoft.com/office/drawing/2014/main" id="{00000000-0008-0000-0500-000050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82" name="Group 142">
                  <a:extLst>
                    <a:ext uri="{FF2B5EF4-FFF2-40B4-BE49-F238E27FC236}">
                      <a16:creationId xmlns:a16="http://schemas.microsoft.com/office/drawing/2014/main" id="{00000000-0008-0000-0500-000046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89" name="Line 143">
                    <a:extLst>
                      <a:ext uri="{FF2B5EF4-FFF2-40B4-BE49-F238E27FC236}">
                        <a16:creationId xmlns:a16="http://schemas.microsoft.com/office/drawing/2014/main" id="{00000000-0008-0000-0500-00004D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90" name="Line 144">
                    <a:extLst>
                      <a:ext uri="{FF2B5EF4-FFF2-40B4-BE49-F238E27FC236}">
                        <a16:creationId xmlns:a16="http://schemas.microsoft.com/office/drawing/2014/main" id="{00000000-0008-0000-0500-00004E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83" name="Group 145">
                  <a:extLst>
                    <a:ext uri="{FF2B5EF4-FFF2-40B4-BE49-F238E27FC236}">
                      <a16:creationId xmlns:a16="http://schemas.microsoft.com/office/drawing/2014/main" id="{00000000-0008-0000-0500-000047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87" name="Line 146">
                    <a:extLst>
                      <a:ext uri="{FF2B5EF4-FFF2-40B4-BE49-F238E27FC236}">
                        <a16:creationId xmlns:a16="http://schemas.microsoft.com/office/drawing/2014/main" id="{00000000-0008-0000-0500-00004B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88" name="Line 147">
                    <a:extLst>
                      <a:ext uri="{FF2B5EF4-FFF2-40B4-BE49-F238E27FC236}">
                        <a16:creationId xmlns:a16="http://schemas.microsoft.com/office/drawing/2014/main" id="{00000000-0008-0000-0500-00004C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84" name="Group 148">
                  <a:extLst>
                    <a:ext uri="{FF2B5EF4-FFF2-40B4-BE49-F238E27FC236}">
                      <a16:creationId xmlns:a16="http://schemas.microsoft.com/office/drawing/2014/main" id="{00000000-0008-0000-0500-000048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85" name="Line 149">
                    <a:extLst>
                      <a:ext uri="{FF2B5EF4-FFF2-40B4-BE49-F238E27FC236}">
                        <a16:creationId xmlns:a16="http://schemas.microsoft.com/office/drawing/2014/main" id="{00000000-0008-0000-0500-000049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86" name="Line 150">
                    <a:extLst>
                      <a:ext uri="{FF2B5EF4-FFF2-40B4-BE49-F238E27FC236}">
                        <a16:creationId xmlns:a16="http://schemas.microsoft.com/office/drawing/2014/main" id="{00000000-0008-0000-0500-00004A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563" name="Group 151">
                <a:extLst>
                  <a:ext uri="{FF2B5EF4-FFF2-40B4-BE49-F238E27FC236}">
                    <a16:creationId xmlns:a16="http://schemas.microsoft.com/office/drawing/2014/main" id="{00000000-0008-0000-0500-000033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565" name="Group 152">
                  <a:extLst>
                    <a:ext uri="{FF2B5EF4-FFF2-40B4-BE49-F238E27FC236}">
                      <a16:creationId xmlns:a16="http://schemas.microsoft.com/office/drawing/2014/main" id="{00000000-0008-0000-0500-000035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79" name="Line 153">
                    <a:extLst>
                      <a:ext uri="{FF2B5EF4-FFF2-40B4-BE49-F238E27FC236}">
                        <a16:creationId xmlns:a16="http://schemas.microsoft.com/office/drawing/2014/main" id="{00000000-0008-0000-0500-000043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80" name="Line 154">
                    <a:extLst>
                      <a:ext uri="{FF2B5EF4-FFF2-40B4-BE49-F238E27FC236}">
                        <a16:creationId xmlns:a16="http://schemas.microsoft.com/office/drawing/2014/main" id="{00000000-0008-0000-0500-000044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66" name="Group 155">
                  <a:extLst>
                    <a:ext uri="{FF2B5EF4-FFF2-40B4-BE49-F238E27FC236}">
                      <a16:creationId xmlns:a16="http://schemas.microsoft.com/office/drawing/2014/main" id="{00000000-0008-0000-0500-000036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77" name="Line 156">
                    <a:extLst>
                      <a:ext uri="{FF2B5EF4-FFF2-40B4-BE49-F238E27FC236}">
                        <a16:creationId xmlns:a16="http://schemas.microsoft.com/office/drawing/2014/main" id="{00000000-0008-0000-0500-000041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78" name="Line 157">
                    <a:extLst>
                      <a:ext uri="{FF2B5EF4-FFF2-40B4-BE49-F238E27FC236}">
                        <a16:creationId xmlns:a16="http://schemas.microsoft.com/office/drawing/2014/main" id="{00000000-0008-0000-0500-000042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67" name="Group 158">
                  <a:extLst>
                    <a:ext uri="{FF2B5EF4-FFF2-40B4-BE49-F238E27FC236}">
                      <a16:creationId xmlns:a16="http://schemas.microsoft.com/office/drawing/2014/main" id="{00000000-0008-0000-0500-000037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75" name="Line 159">
                    <a:extLst>
                      <a:ext uri="{FF2B5EF4-FFF2-40B4-BE49-F238E27FC236}">
                        <a16:creationId xmlns:a16="http://schemas.microsoft.com/office/drawing/2014/main" id="{00000000-0008-0000-0500-00003F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76" name="Line 160">
                    <a:extLst>
                      <a:ext uri="{FF2B5EF4-FFF2-40B4-BE49-F238E27FC236}">
                        <a16:creationId xmlns:a16="http://schemas.microsoft.com/office/drawing/2014/main" id="{00000000-0008-0000-0500-000040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68" name="Group 161">
                  <a:extLst>
                    <a:ext uri="{FF2B5EF4-FFF2-40B4-BE49-F238E27FC236}">
                      <a16:creationId xmlns:a16="http://schemas.microsoft.com/office/drawing/2014/main" id="{00000000-0008-0000-0500-000038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73" name="Line 162">
                    <a:extLst>
                      <a:ext uri="{FF2B5EF4-FFF2-40B4-BE49-F238E27FC236}">
                        <a16:creationId xmlns:a16="http://schemas.microsoft.com/office/drawing/2014/main" id="{00000000-0008-0000-0500-00003D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74" name="Line 163">
                    <a:extLst>
                      <a:ext uri="{FF2B5EF4-FFF2-40B4-BE49-F238E27FC236}">
                        <a16:creationId xmlns:a16="http://schemas.microsoft.com/office/drawing/2014/main" id="{00000000-0008-0000-0500-00003E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569" name="Group 164">
                  <a:extLst>
                    <a:ext uri="{FF2B5EF4-FFF2-40B4-BE49-F238E27FC236}">
                      <a16:creationId xmlns:a16="http://schemas.microsoft.com/office/drawing/2014/main" id="{00000000-0008-0000-0500-000039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571" name="Line 165">
                    <a:extLst>
                      <a:ext uri="{FF2B5EF4-FFF2-40B4-BE49-F238E27FC236}">
                        <a16:creationId xmlns:a16="http://schemas.microsoft.com/office/drawing/2014/main" id="{00000000-0008-0000-0500-00003B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72" name="Line 166">
                    <a:extLst>
                      <a:ext uri="{FF2B5EF4-FFF2-40B4-BE49-F238E27FC236}">
                        <a16:creationId xmlns:a16="http://schemas.microsoft.com/office/drawing/2014/main" id="{00000000-0008-0000-0500-00003C02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570" name="Line 167">
                  <a:extLst>
                    <a:ext uri="{FF2B5EF4-FFF2-40B4-BE49-F238E27FC236}">
                      <a16:creationId xmlns:a16="http://schemas.microsoft.com/office/drawing/2014/main" id="{00000000-0008-0000-0500-00003A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564" name="Line 168">
                <a:extLst>
                  <a:ext uri="{FF2B5EF4-FFF2-40B4-BE49-F238E27FC236}">
                    <a16:creationId xmlns:a16="http://schemas.microsoft.com/office/drawing/2014/main" id="{00000000-0008-0000-0500-000034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546" name="Group 169">
              <a:extLst>
                <a:ext uri="{FF2B5EF4-FFF2-40B4-BE49-F238E27FC236}">
                  <a16:creationId xmlns:a16="http://schemas.microsoft.com/office/drawing/2014/main" id="{00000000-0008-0000-0500-00002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547" name="Rectangle 170">
                <a:extLst>
                  <a:ext uri="{FF2B5EF4-FFF2-40B4-BE49-F238E27FC236}">
                    <a16:creationId xmlns:a16="http://schemas.microsoft.com/office/drawing/2014/main" id="{00000000-0008-0000-0500-00002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val="969696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grpSp>
            <xdr:nvGrpSpPr>
              <xdr:cNvPr id="548" name="Group 171">
                <a:extLst>
                  <a:ext uri="{FF2B5EF4-FFF2-40B4-BE49-F238E27FC236}">
                    <a16:creationId xmlns:a16="http://schemas.microsoft.com/office/drawing/2014/main" id="{00000000-0008-0000-0500-000024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549" name="Oval 172">
                  <a:extLst>
                    <a:ext uri="{FF2B5EF4-FFF2-40B4-BE49-F238E27FC236}">
                      <a16:creationId xmlns:a16="http://schemas.microsoft.com/office/drawing/2014/main" id="{00000000-0008-0000-0500-000025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val="767676">
                        <a:gamma/>
                        <a:shade val="46275"/>
                        <a:invGamma/>
                      </a:srgbClr>
                    </a:gs>
                    <a:gs pos="50000">
                      <a:srgbClr val="FFFFFF"/>
                    </a:gs>
                    <a:gs pos="100000">
                      <a:srgbClr val="767676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550" name="Group 173">
                  <a:extLst>
                    <a:ext uri="{FF2B5EF4-FFF2-40B4-BE49-F238E27FC236}">
                      <a16:creationId xmlns:a16="http://schemas.microsoft.com/office/drawing/2014/main" id="{00000000-0008-0000-0500-000026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555" name="Group 174">
                    <a:extLst>
                      <a:ext uri="{FF2B5EF4-FFF2-40B4-BE49-F238E27FC236}">
                        <a16:creationId xmlns:a16="http://schemas.microsoft.com/office/drawing/2014/main" id="{00000000-0008-0000-0500-00002B02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559" name="Oval 175">
                      <a:extLst>
                        <a:ext uri="{FF2B5EF4-FFF2-40B4-BE49-F238E27FC236}">
                          <a16:creationId xmlns:a16="http://schemas.microsoft.com/office/drawing/2014/main" id="{00000000-0008-0000-0500-00002F02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560" name="AutoShape 176">
                      <a:extLst>
                        <a:ext uri="{FF2B5EF4-FFF2-40B4-BE49-F238E27FC236}">
                          <a16:creationId xmlns:a16="http://schemas.microsoft.com/office/drawing/2014/main" id="{00000000-0008-0000-0500-00003002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556" name="Group 177">
                    <a:extLst>
                      <a:ext uri="{FF2B5EF4-FFF2-40B4-BE49-F238E27FC236}">
                        <a16:creationId xmlns:a16="http://schemas.microsoft.com/office/drawing/2014/main" id="{00000000-0008-0000-0500-00002C02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557" name="Oval 178">
                      <a:extLst>
                        <a:ext uri="{FF2B5EF4-FFF2-40B4-BE49-F238E27FC236}">
                          <a16:creationId xmlns:a16="http://schemas.microsoft.com/office/drawing/2014/main" id="{00000000-0008-0000-0500-00002D02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558" name="AutoShape 179">
                      <a:extLst>
                        <a:ext uri="{FF2B5EF4-FFF2-40B4-BE49-F238E27FC236}">
                          <a16:creationId xmlns:a16="http://schemas.microsoft.com/office/drawing/2014/main" id="{00000000-0008-0000-0500-00002E02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551" name="Line 180">
                  <a:extLst>
                    <a:ext uri="{FF2B5EF4-FFF2-40B4-BE49-F238E27FC236}">
                      <a16:creationId xmlns:a16="http://schemas.microsoft.com/office/drawing/2014/main" id="{00000000-0008-0000-0500-000027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552" name="Group 181">
                  <a:extLst>
                    <a:ext uri="{FF2B5EF4-FFF2-40B4-BE49-F238E27FC236}">
                      <a16:creationId xmlns:a16="http://schemas.microsoft.com/office/drawing/2014/main" id="{00000000-0008-0000-0500-00002802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553" name="Oval 182">
                    <a:extLst>
                      <a:ext uri="{FF2B5EF4-FFF2-40B4-BE49-F238E27FC236}">
                        <a16:creationId xmlns:a16="http://schemas.microsoft.com/office/drawing/2014/main" id="{00000000-0008-0000-0500-00002902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554" name="Rectangle 183">
                    <a:extLst>
                      <a:ext uri="{FF2B5EF4-FFF2-40B4-BE49-F238E27FC236}">
                        <a16:creationId xmlns:a16="http://schemas.microsoft.com/office/drawing/2014/main" id="{00000000-0008-0000-0500-00002A02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544" name="Rectangle 184">
            <a:extLst>
              <a:ext uri="{FF2B5EF4-FFF2-40B4-BE49-F238E27FC236}">
                <a16:creationId xmlns:a16="http://schemas.microsoft.com/office/drawing/2014/main" id="{00000000-0008-0000-0500-00002002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542925</xdr:colOff>
      <xdr:row>6</xdr:row>
      <xdr:rowOff>104775</xdr:rowOff>
    </xdr:from>
    <xdr:to>
      <xdr:col>8</xdr:col>
      <xdr:colOff>154089</xdr:colOff>
      <xdr:row>12</xdr:row>
      <xdr:rowOff>149936</xdr:rowOff>
    </xdr:to>
    <xdr:grpSp>
      <xdr:nvGrpSpPr>
        <xdr:cNvPr id="609" name="Group 347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GrpSpPr>
          <a:grpSpLocks/>
        </xdr:cNvGrpSpPr>
      </xdr:nvGrpSpPr>
      <xdr:grpSpPr bwMode="auto">
        <a:xfrm>
          <a:off x="4953000" y="1247775"/>
          <a:ext cx="220764" cy="1188161"/>
          <a:chOff x="146" y="108"/>
          <a:chExt cx="45" cy="149"/>
        </a:xfrm>
      </xdr:grpSpPr>
      <xdr:grpSp>
        <xdr:nvGrpSpPr>
          <xdr:cNvPr id="610" name="Group 348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GrpSpPr>
            <a:grpSpLocks/>
          </xdr:cNvGrpSpPr>
        </xdr:nvGrpSpPr>
        <xdr:grpSpPr bwMode="auto">
          <a:xfrm>
            <a:off x="146" y="108"/>
            <a:ext cx="45" cy="149"/>
            <a:chOff x="146" y="108"/>
            <a:chExt cx="45" cy="149"/>
          </a:xfrm>
        </xdr:grpSpPr>
        <xdr:sp macro="" textlink="">
          <xdr:nvSpPr>
            <xdr:cNvPr id="614" name="Oval 349">
              <a:extLst>
                <a:ext uri="{FF2B5EF4-FFF2-40B4-BE49-F238E27FC236}">
                  <a16:creationId xmlns:a16="http://schemas.microsoft.com/office/drawing/2014/main" id="{00000000-0008-0000-0500-00006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08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5" name="Oval 350">
              <a:extLst>
                <a:ext uri="{FF2B5EF4-FFF2-40B4-BE49-F238E27FC236}">
                  <a16:creationId xmlns:a16="http://schemas.microsoft.com/office/drawing/2014/main" id="{00000000-0008-0000-0500-00006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246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6" name="Rectangle 351">
              <a:extLst>
                <a:ext uri="{FF2B5EF4-FFF2-40B4-BE49-F238E27FC236}">
                  <a16:creationId xmlns:a16="http://schemas.microsoft.com/office/drawing/2014/main" id="{00000000-0008-0000-0500-00006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14"/>
              <a:ext cx="45" cy="137"/>
            </a:xfrm>
            <a:prstGeom prst="rect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611" name="Line 352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0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2" name="Line 353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2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3" name="Line 354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5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161925</xdr:colOff>
      <xdr:row>14</xdr:row>
      <xdr:rowOff>1225</xdr:rowOff>
    </xdr:from>
    <xdr:to>
      <xdr:col>7</xdr:col>
      <xdr:colOff>0</xdr:colOff>
      <xdr:row>14</xdr:row>
      <xdr:rowOff>3702</xdr:rowOff>
    </xdr:to>
    <xdr:cxnSp macro="">
      <xdr:nvCxnSpPr>
        <xdr:cNvPr id="617" name="Elbow Connector 616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CxnSpPr>
          <a:stCxn id="547" idx="1"/>
          <a:endCxn id="86" idx="2"/>
        </xdr:cNvCxnSpPr>
      </xdr:nvCxnSpPr>
      <xdr:spPr>
        <a:xfrm>
          <a:off x="3209925" y="2096725"/>
          <a:ext cx="447675" cy="247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</xdr:colOff>
      <xdr:row>12</xdr:row>
      <xdr:rowOff>106079</xdr:rowOff>
    </xdr:from>
    <xdr:to>
      <xdr:col>7</xdr:col>
      <xdr:colOff>542925</xdr:colOff>
      <xdr:row>13</xdr:row>
      <xdr:rowOff>9526</xdr:rowOff>
    </xdr:to>
    <xdr:cxnSp macro="">
      <xdr:nvCxnSpPr>
        <xdr:cNvPr id="620" name="Elbow Connector 619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CxnSpPr>
          <a:stCxn id="85" idx="2"/>
          <a:endCxn id="615" idx="2"/>
        </xdr:cNvCxnSpPr>
      </xdr:nvCxnSpPr>
      <xdr:spPr>
        <a:xfrm rot="5400000" flipH="1" flipV="1">
          <a:off x="3922570" y="1636571"/>
          <a:ext cx="93947" cy="461963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12</xdr:row>
      <xdr:rowOff>180975</xdr:rowOff>
    </xdr:from>
    <xdr:to>
      <xdr:col>10</xdr:col>
      <xdr:colOff>525564</xdr:colOff>
      <xdr:row>19</xdr:row>
      <xdr:rowOff>35636</xdr:rowOff>
    </xdr:to>
    <xdr:grpSp>
      <xdr:nvGrpSpPr>
        <xdr:cNvPr id="623" name="Group 34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GrpSpPr>
          <a:grpSpLocks/>
        </xdr:cNvGrpSpPr>
      </xdr:nvGrpSpPr>
      <xdr:grpSpPr bwMode="auto">
        <a:xfrm>
          <a:off x="6800850" y="2466975"/>
          <a:ext cx="220764" cy="1188161"/>
          <a:chOff x="146" y="108"/>
          <a:chExt cx="45" cy="149"/>
        </a:xfrm>
      </xdr:grpSpPr>
      <xdr:grpSp>
        <xdr:nvGrpSpPr>
          <xdr:cNvPr id="624" name="Group 348">
            <a:extLst>
              <a:ext uri="{FF2B5EF4-FFF2-40B4-BE49-F238E27FC236}">
                <a16:creationId xmlns:a16="http://schemas.microsoft.com/office/drawing/2014/main" id="{00000000-0008-0000-0500-000070020000}"/>
              </a:ext>
            </a:extLst>
          </xdr:cNvPr>
          <xdr:cNvGrpSpPr>
            <a:grpSpLocks/>
          </xdr:cNvGrpSpPr>
        </xdr:nvGrpSpPr>
        <xdr:grpSpPr bwMode="auto">
          <a:xfrm>
            <a:off x="146" y="108"/>
            <a:ext cx="45" cy="149"/>
            <a:chOff x="146" y="108"/>
            <a:chExt cx="45" cy="149"/>
          </a:xfrm>
        </xdr:grpSpPr>
        <xdr:sp macro="" textlink="">
          <xdr:nvSpPr>
            <xdr:cNvPr id="628" name="Oval 349">
              <a:extLst>
                <a:ext uri="{FF2B5EF4-FFF2-40B4-BE49-F238E27FC236}">
                  <a16:creationId xmlns:a16="http://schemas.microsoft.com/office/drawing/2014/main" id="{00000000-0008-0000-0500-00007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08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29" name="Oval 350">
              <a:extLst>
                <a:ext uri="{FF2B5EF4-FFF2-40B4-BE49-F238E27FC236}">
                  <a16:creationId xmlns:a16="http://schemas.microsoft.com/office/drawing/2014/main" id="{00000000-0008-0000-0500-00007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246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0" name="Rectangle 351">
              <a:extLst>
                <a:ext uri="{FF2B5EF4-FFF2-40B4-BE49-F238E27FC236}">
                  <a16:creationId xmlns:a16="http://schemas.microsoft.com/office/drawing/2014/main" id="{00000000-0008-0000-0500-00007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14"/>
              <a:ext cx="45" cy="137"/>
            </a:xfrm>
            <a:prstGeom prst="rect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625" name="Line 352">
            <a:extLst>
              <a:ext uri="{FF2B5EF4-FFF2-40B4-BE49-F238E27FC236}">
                <a16:creationId xmlns:a16="http://schemas.microsoft.com/office/drawing/2014/main" id="{00000000-0008-0000-0500-000071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0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6" name="Line 353">
            <a:extLst>
              <a:ext uri="{FF2B5EF4-FFF2-40B4-BE49-F238E27FC236}">
                <a16:creationId xmlns:a16="http://schemas.microsoft.com/office/drawing/2014/main" id="{00000000-0008-0000-0500-000072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2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7" name="Line 354">
            <a:extLst>
              <a:ext uri="{FF2B5EF4-FFF2-40B4-BE49-F238E27FC236}">
                <a16:creationId xmlns:a16="http://schemas.microsoft.com/office/drawing/2014/main" id="{00000000-0008-0000-0500-000073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5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523872</xdr:colOff>
      <xdr:row>19</xdr:row>
      <xdr:rowOff>66676</xdr:rowOff>
    </xdr:from>
    <xdr:to>
      <xdr:col>10</xdr:col>
      <xdr:colOff>66675</xdr:colOff>
      <xdr:row>20</xdr:row>
      <xdr:rowOff>66676</xdr:rowOff>
    </xdr:to>
    <xdr:grpSp>
      <xdr:nvGrpSpPr>
        <xdr:cNvPr id="631" name="Group 179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GrpSpPr>
          <a:grpSpLocks/>
        </xdr:cNvGrpSpPr>
      </xdr:nvGrpSpPr>
      <xdr:grpSpPr bwMode="auto">
        <a:xfrm flipH="1">
          <a:off x="6343647" y="3686176"/>
          <a:ext cx="219078" cy="190500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632" name="AutoShape 180">
            <a:extLst>
              <a:ext uri="{FF2B5EF4-FFF2-40B4-BE49-F238E27FC236}">
                <a16:creationId xmlns:a16="http://schemas.microsoft.com/office/drawing/2014/main" id="{00000000-0008-0000-0500-000078020000}"/>
              </a:ext>
            </a:extLst>
          </xdr:cNvPr>
          <xdr:cNvSpPr>
            <a:spLocks noChangeArrowheads="1"/>
          </xdr:cNvSpPr>
        </xdr:nvSpPr>
        <xdr:spPr bwMode="auto">
          <a:xfrm rot="-10800000">
            <a:off x="371" y="505"/>
            <a:ext cx="58" cy="1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633" name="Group 181">
            <a:extLst>
              <a:ext uri="{FF2B5EF4-FFF2-40B4-BE49-F238E27FC236}">
                <a16:creationId xmlns:a16="http://schemas.microsoft.com/office/drawing/2014/main" id="{00000000-0008-0000-0500-00007902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634" name="Rectangle 182">
              <a:extLst>
                <a:ext uri="{FF2B5EF4-FFF2-40B4-BE49-F238E27FC236}">
                  <a16:creationId xmlns:a16="http://schemas.microsoft.com/office/drawing/2014/main" id="{00000000-0008-0000-0500-00007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635" name="Group 183">
              <a:extLst>
                <a:ext uri="{FF2B5EF4-FFF2-40B4-BE49-F238E27FC236}">
                  <a16:creationId xmlns:a16="http://schemas.microsoft.com/office/drawing/2014/main" id="{00000000-0008-0000-0500-00007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636" name="Oval 184">
                <a:extLst>
                  <a:ext uri="{FF2B5EF4-FFF2-40B4-BE49-F238E27FC236}">
                    <a16:creationId xmlns:a16="http://schemas.microsoft.com/office/drawing/2014/main" id="{00000000-0008-0000-0500-00007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37" name="Oval 185">
                <a:extLst>
                  <a:ext uri="{FF2B5EF4-FFF2-40B4-BE49-F238E27FC236}">
                    <a16:creationId xmlns:a16="http://schemas.microsoft.com/office/drawing/2014/main" id="{00000000-0008-0000-0500-00007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10</xdr:col>
      <xdr:colOff>415181</xdr:colOff>
      <xdr:row>19</xdr:row>
      <xdr:rowOff>35636</xdr:rowOff>
    </xdr:from>
    <xdr:to>
      <xdr:col>11</xdr:col>
      <xdr:colOff>126066</xdr:colOff>
      <xdr:row>20</xdr:row>
      <xdr:rowOff>76200</xdr:rowOff>
    </xdr:to>
    <xdr:cxnSp macro="">
      <xdr:nvCxnSpPr>
        <xdr:cNvPr id="638" name="Elbow Connector 637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CxnSpPr>
          <a:stCxn id="629" idx="4"/>
          <a:endCxn id="642" idx="4"/>
        </xdr:cNvCxnSpPr>
      </xdr:nvCxnSpPr>
      <xdr:spPr>
        <a:xfrm rot="16200000" flipH="1">
          <a:off x="5946292" y="3038925"/>
          <a:ext cx="231064" cy="320485"/>
        </a:xfrm>
        <a:prstGeom prst="bentConnector3">
          <a:avLst>
            <a:gd name="adj1" fmla="val 198934"/>
          </a:avLst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49008</xdr:colOff>
      <xdr:row>19</xdr:row>
      <xdr:rowOff>35636</xdr:rowOff>
    </xdr:from>
    <xdr:to>
      <xdr:col>10</xdr:col>
      <xdr:colOff>415183</xdr:colOff>
      <xdr:row>19</xdr:row>
      <xdr:rowOff>153989</xdr:rowOff>
    </xdr:to>
    <xdr:cxnSp macro="">
      <xdr:nvCxnSpPr>
        <xdr:cNvPr id="639" name="Elbow Connector 638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CxnSpPr>
          <a:stCxn id="629" idx="4"/>
          <a:endCxn id="636" idx="2"/>
        </xdr:cNvCxnSpPr>
      </xdr:nvCxnSpPr>
      <xdr:spPr>
        <a:xfrm rot="5400000">
          <a:off x="5697419" y="3340725"/>
          <a:ext cx="118353" cy="366175"/>
        </a:xfrm>
        <a:prstGeom prst="bentConnector2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514351</xdr:colOff>
      <xdr:row>18</xdr:row>
      <xdr:rowOff>57150</xdr:rowOff>
    </xdr:from>
    <xdr:to>
      <xdr:col>11</xdr:col>
      <xdr:colOff>126067</xdr:colOff>
      <xdr:row>19</xdr:row>
      <xdr:rowOff>19050</xdr:rowOff>
    </xdr:to>
    <xdr:cxnSp macro="">
      <xdr:nvCxnSpPr>
        <xdr:cNvPr id="640" name="Elbow Connector 639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CxnSpPr>
          <a:stCxn id="642" idx="0"/>
        </xdr:cNvCxnSpPr>
      </xdr:nvCxnSpPr>
      <xdr:spPr>
        <a:xfrm rot="16200000" flipV="1">
          <a:off x="6035209" y="2880192"/>
          <a:ext cx="152400" cy="221316"/>
        </a:xfrm>
        <a:prstGeom prst="bentConnector2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19</xdr:row>
      <xdr:rowOff>19050</xdr:rowOff>
    </xdr:from>
    <xdr:to>
      <xdr:col>11</xdr:col>
      <xdr:colOff>257175</xdr:colOff>
      <xdr:row>20</xdr:row>
      <xdr:rowOff>76200</xdr:rowOff>
    </xdr:to>
    <xdr:grpSp>
      <xdr:nvGrpSpPr>
        <xdr:cNvPr id="641" name="Group 640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GrpSpPr/>
      </xdr:nvGrpSpPr>
      <xdr:grpSpPr>
        <a:xfrm>
          <a:off x="7115175" y="3638550"/>
          <a:ext cx="247650" cy="247650"/>
          <a:chOff x="609600" y="11658600"/>
          <a:chExt cx="566738" cy="561975"/>
        </a:xfrm>
      </xdr:grpSpPr>
      <xdr:sp macro="" textlink="">
        <xdr:nvSpPr>
          <xdr:cNvPr id="642" name="Oval 323">
            <a:extLst>
              <a:ext uri="{FF2B5EF4-FFF2-40B4-BE49-F238E27FC236}">
                <a16:creationId xmlns:a16="http://schemas.microsoft.com/office/drawing/2014/main" id="{00000000-0008-0000-0500-00008202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643" name="Straight Connector 642">
            <a:extLst>
              <a:ext uri="{FF2B5EF4-FFF2-40B4-BE49-F238E27FC236}">
                <a16:creationId xmlns:a16="http://schemas.microsoft.com/office/drawing/2014/main" id="{00000000-0008-0000-0500-00008302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44" name="Straight Arrow Connector 643">
            <a:extLst>
              <a:ext uri="{FF2B5EF4-FFF2-40B4-BE49-F238E27FC236}">
                <a16:creationId xmlns:a16="http://schemas.microsoft.com/office/drawing/2014/main" id="{00000000-0008-0000-0500-00008402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45" name="Straight Connector 644">
            <a:extLst>
              <a:ext uri="{FF2B5EF4-FFF2-40B4-BE49-F238E27FC236}">
                <a16:creationId xmlns:a16="http://schemas.microsoft.com/office/drawing/2014/main" id="{00000000-0008-0000-0500-00008502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352425</xdr:colOff>
      <xdr:row>15</xdr:row>
      <xdr:rowOff>66675</xdr:rowOff>
    </xdr:from>
    <xdr:to>
      <xdr:col>8</xdr:col>
      <xdr:colOff>514350</xdr:colOff>
      <xdr:row>17</xdr:row>
      <xdr:rowOff>57150</xdr:rowOff>
    </xdr:to>
    <xdr:grpSp>
      <xdr:nvGrpSpPr>
        <xdr:cNvPr id="650" name="Group 322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GrpSpPr>
          <a:grpSpLocks/>
        </xdr:cNvGrpSpPr>
      </xdr:nvGrpSpPr>
      <xdr:grpSpPr bwMode="auto">
        <a:xfrm rot="5400000">
          <a:off x="5267325" y="3028950"/>
          <a:ext cx="371475" cy="161925"/>
          <a:chOff x="2933" y="2069"/>
          <a:chExt cx="175" cy="59"/>
        </a:xfrm>
      </xdr:grpSpPr>
      <xdr:sp macro="" textlink="">
        <xdr:nvSpPr>
          <xdr:cNvPr id="651" name="Oval 323">
            <a:extLst>
              <a:ext uri="{FF2B5EF4-FFF2-40B4-BE49-F238E27FC236}">
                <a16:creationId xmlns:a16="http://schemas.microsoft.com/office/drawing/2014/main" id="{00000000-0008-0000-0500-00008B02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52" name="Oval 324">
            <a:extLst>
              <a:ext uri="{FF2B5EF4-FFF2-40B4-BE49-F238E27FC236}">
                <a16:creationId xmlns:a16="http://schemas.microsoft.com/office/drawing/2014/main" id="{00000000-0008-0000-0500-00008C02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53" name="Rectangle 325">
            <a:extLst>
              <a:ext uri="{FF2B5EF4-FFF2-40B4-BE49-F238E27FC236}">
                <a16:creationId xmlns:a16="http://schemas.microsoft.com/office/drawing/2014/main" id="{00000000-0008-0000-0500-00008D02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436630</xdr:colOff>
      <xdr:row>13</xdr:row>
      <xdr:rowOff>34334</xdr:rowOff>
    </xdr:from>
    <xdr:to>
      <xdr:col>10</xdr:col>
      <xdr:colOff>304800</xdr:colOff>
      <xdr:row>15</xdr:row>
      <xdr:rowOff>115652</xdr:rowOff>
    </xdr:to>
    <xdr:cxnSp macro="">
      <xdr:nvCxnSpPr>
        <xdr:cNvPr id="661" name="Elbow Connector 660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CxnSpPr>
          <a:stCxn id="377" idx="0"/>
          <a:endCxn id="628" idx="2"/>
        </xdr:cNvCxnSpPr>
      </xdr:nvCxnSpPr>
      <xdr:spPr>
        <a:xfrm flipV="1">
          <a:off x="5284855" y="2320334"/>
          <a:ext cx="544445" cy="462318"/>
        </a:xfrm>
        <a:prstGeom prst="bentConnector3">
          <a:avLst>
            <a:gd name="adj1" fmla="val 50000"/>
          </a:avLst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322272</xdr:colOff>
      <xdr:row>16</xdr:row>
      <xdr:rowOff>58152</xdr:rowOff>
    </xdr:from>
    <xdr:to>
      <xdr:col>9</xdr:col>
      <xdr:colOff>523873</xdr:colOff>
      <xdr:row>19</xdr:row>
      <xdr:rowOff>94458</xdr:rowOff>
    </xdr:to>
    <xdr:cxnSp macro="">
      <xdr:nvCxnSpPr>
        <xdr:cNvPr id="664" name="Elbow Connector 663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CxnSpPr>
          <a:stCxn id="634" idx="3"/>
          <a:endCxn id="377" idx="6"/>
        </xdr:cNvCxnSpPr>
      </xdr:nvCxnSpPr>
      <xdr:spPr>
        <a:xfrm rot="10800000">
          <a:off x="5170497" y="2915652"/>
          <a:ext cx="201601" cy="607806"/>
        </a:xfrm>
        <a:prstGeom prst="bentConnector2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154089</xdr:colOff>
      <xdr:row>6</xdr:row>
      <xdr:rowOff>148634</xdr:rowOff>
    </xdr:from>
    <xdr:to>
      <xdr:col>9</xdr:col>
      <xdr:colOff>306262</xdr:colOff>
      <xdr:row>14</xdr:row>
      <xdr:rowOff>188800</xdr:rowOff>
    </xdr:to>
    <xdr:cxnSp macro="">
      <xdr:nvCxnSpPr>
        <xdr:cNvPr id="667" name="Elbow Connector 666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CxnSpPr>
          <a:stCxn id="377" idx="2"/>
          <a:endCxn id="614" idx="6"/>
        </xdr:cNvCxnSpPr>
      </xdr:nvCxnSpPr>
      <xdr:spPr>
        <a:xfrm rot="16200000" flipV="1">
          <a:off x="3991518" y="1502330"/>
          <a:ext cx="1564166" cy="761773"/>
        </a:xfrm>
        <a:prstGeom prst="bentConnector2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43707</xdr:colOff>
      <xdr:row>6</xdr:row>
      <xdr:rowOff>104775</xdr:rowOff>
    </xdr:from>
    <xdr:to>
      <xdr:col>11</xdr:col>
      <xdr:colOff>47625</xdr:colOff>
      <xdr:row>7</xdr:row>
      <xdr:rowOff>89427</xdr:rowOff>
    </xdr:to>
    <xdr:cxnSp macro="">
      <xdr:nvCxnSpPr>
        <xdr:cNvPr id="670" name="Elbow Connector 669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CxnSpPr>
          <a:stCxn id="614" idx="0"/>
          <a:endCxn id="680" idx="2"/>
        </xdr:cNvCxnSpPr>
      </xdr:nvCxnSpPr>
      <xdr:spPr>
        <a:xfrm rot="16200000" flipH="1">
          <a:off x="5139690" y="-152508"/>
          <a:ext cx="175152" cy="1832718"/>
        </a:xfrm>
        <a:prstGeom prst="bentConnector4">
          <a:avLst>
            <a:gd name="adj1" fmla="val -130515"/>
            <a:gd name="adj2" fmla="val 79347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6</xdr:row>
      <xdr:rowOff>95250</xdr:rowOff>
    </xdr:from>
    <xdr:to>
      <xdr:col>11</xdr:col>
      <xdr:colOff>209550</xdr:colOff>
      <xdr:row>8</xdr:row>
      <xdr:rowOff>85725</xdr:rowOff>
    </xdr:to>
    <xdr:grpSp>
      <xdr:nvGrpSpPr>
        <xdr:cNvPr id="677" name="Group 322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GrpSpPr>
          <a:grpSpLocks/>
        </xdr:cNvGrpSpPr>
      </xdr:nvGrpSpPr>
      <xdr:grpSpPr bwMode="auto">
        <a:xfrm rot="5400000">
          <a:off x="7048500" y="1343025"/>
          <a:ext cx="371475" cy="161925"/>
          <a:chOff x="2933" y="2069"/>
          <a:chExt cx="175" cy="59"/>
        </a:xfrm>
      </xdr:grpSpPr>
      <xdr:sp macro="" textlink="">
        <xdr:nvSpPr>
          <xdr:cNvPr id="678" name="Oval 323">
            <a:extLst>
              <a:ext uri="{FF2B5EF4-FFF2-40B4-BE49-F238E27FC236}">
                <a16:creationId xmlns:a16="http://schemas.microsoft.com/office/drawing/2014/main" id="{00000000-0008-0000-0500-0000A602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79" name="Oval 324">
            <a:extLst>
              <a:ext uri="{FF2B5EF4-FFF2-40B4-BE49-F238E27FC236}">
                <a16:creationId xmlns:a16="http://schemas.microsoft.com/office/drawing/2014/main" id="{00000000-0008-0000-0500-0000A702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0" name="Rectangle 325">
            <a:extLst>
              <a:ext uri="{FF2B5EF4-FFF2-40B4-BE49-F238E27FC236}">
                <a16:creationId xmlns:a16="http://schemas.microsoft.com/office/drawing/2014/main" id="{00000000-0008-0000-0500-0000A802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433386</xdr:colOff>
      <xdr:row>16</xdr:row>
      <xdr:rowOff>18643</xdr:rowOff>
    </xdr:from>
    <xdr:to>
      <xdr:col>14</xdr:col>
      <xdr:colOff>190789</xdr:colOff>
      <xdr:row>17</xdr:row>
      <xdr:rowOff>152400</xdr:rowOff>
    </xdr:to>
    <xdr:cxnSp macro="">
      <xdr:nvCxnSpPr>
        <xdr:cNvPr id="681" name="Elbow Connector 680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CxnSpPr>
          <a:stCxn id="718" idx="6"/>
          <a:endCxn id="684" idx="4"/>
        </xdr:cNvCxnSpPr>
      </xdr:nvCxnSpPr>
      <xdr:spPr>
        <a:xfrm rot="5400000" flipH="1" flipV="1">
          <a:off x="7769959" y="2473770"/>
          <a:ext cx="324257" cy="367003"/>
        </a:xfrm>
        <a:prstGeom prst="bentConnector4">
          <a:avLst>
            <a:gd name="adj1" fmla="val -70500"/>
            <a:gd name="adj2" fmla="val 55889"/>
          </a:avLst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428625</xdr:colOff>
      <xdr:row>14</xdr:row>
      <xdr:rowOff>47625</xdr:rowOff>
    </xdr:from>
    <xdr:to>
      <xdr:col>13</xdr:col>
      <xdr:colOff>433387</xdr:colOff>
      <xdr:row>15</xdr:row>
      <xdr:rowOff>161925</xdr:rowOff>
    </xdr:to>
    <xdr:cxnSp macro="">
      <xdr:nvCxnSpPr>
        <xdr:cNvPr id="682" name="Straight Arrow Connector 681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CxnSpPr>
          <a:stCxn id="719" idx="2"/>
        </xdr:cNvCxnSpPr>
      </xdr:nvCxnSpPr>
      <xdr:spPr>
        <a:xfrm flipH="1" flipV="1">
          <a:off x="7743825" y="2143125"/>
          <a:ext cx="4762" cy="304800"/>
        </a:xfrm>
        <a:prstGeom prst="straightConnector1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190499</xdr:colOff>
      <xdr:row>15</xdr:row>
      <xdr:rowOff>57150</xdr:rowOff>
    </xdr:from>
    <xdr:to>
      <xdr:col>14</xdr:col>
      <xdr:colOff>476249</xdr:colOff>
      <xdr:row>16</xdr:row>
      <xdr:rowOff>152400</xdr:rowOff>
    </xdr:to>
    <xdr:grpSp>
      <xdr:nvGrpSpPr>
        <xdr:cNvPr id="683" name="Group 682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GrpSpPr/>
      </xdr:nvGrpSpPr>
      <xdr:grpSpPr>
        <a:xfrm rot="5180462">
          <a:off x="9239249" y="2914650"/>
          <a:ext cx="285750" cy="285750"/>
          <a:chOff x="1765300" y="11734800"/>
          <a:chExt cx="533401" cy="561975"/>
        </a:xfrm>
      </xdr:grpSpPr>
      <xdr:sp macro="" textlink="">
        <xdr:nvSpPr>
          <xdr:cNvPr id="684" name="Oval 323">
            <a:extLst>
              <a:ext uri="{FF2B5EF4-FFF2-40B4-BE49-F238E27FC236}">
                <a16:creationId xmlns:a16="http://schemas.microsoft.com/office/drawing/2014/main" id="{00000000-0008-0000-0500-0000AC020000}"/>
              </a:ext>
            </a:extLst>
          </xdr:cNvPr>
          <xdr:cNvSpPr>
            <a:spLocks noChangeArrowheads="1"/>
          </xdr:cNvSpPr>
        </xdr:nvSpPr>
        <xdr:spPr bwMode="auto">
          <a:xfrm>
            <a:off x="1765300" y="117348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685" name="Straight Connector 684">
            <a:extLst>
              <a:ext uri="{FF2B5EF4-FFF2-40B4-BE49-F238E27FC236}">
                <a16:creationId xmlns:a16="http://schemas.microsoft.com/office/drawing/2014/main" id="{00000000-0008-0000-0500-0000AD020000}"/>
              </a:ext>
            </a:extLst>
          </xdr:cNvPr>
          <xdr:cNvCxnSpPr>
            <a:stCxn id="684" idx="0"/>
          </xdr:cNvCxnSpPr>
        </xdr:nvCxnSpPr>
        <xdr:spPr bwMode="auto">
          <a:xfrm flipH="1">
            <a:off x="2032000" y="11734800"/>
            <a:ext cx="1" cy="1492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86" name="Straight Connector 685">
            <a:extLst>
              <a:ext uri="{FF2B5EF4-FFF2-40B4-BE49-F238E27FC236}">
                <a16:creationId xmlns:a16="http://schemas.microsoft.com/office/drawing/2014/main" id="{00000000-0008-0000-0500-0000AE020000}"/>
              </a:ext>
            </a:extLst>
          </xdr:cNvPr>
          <xdr:cNvCxnSpPr/>
        </xdr:nvCxnSpPr>
        <xdr:spPr bwMode="auto">
          <a:xfrm>
            <a:off x="2033588" y="11877675"/>
            <a:ext cx="125412" cy="571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87" name="Straight Connector 686">
            <a:extLst>
              <a:ext uri="{FF2B5EF4-FFF2-40B4-BE49-F238E27FC236}">
                <a16:creationId xmlns:a16="http://schemas.microsoft.com/office/drawing/2014/main" id="{00000000-0008-0000-0500-0000AF020000}"/>
              </a:ext>
            </a:extLst>
          </xdr:cNvPr>
          <xdr:cNvCxnSpPr/>
        </xdr:nvCxnSpPr>
        <xdr:spPr bwMode="auto">
          <a:xfrm flipH="1">
            <a:off x="1919288" y="11934825"/>
            <a:ext cx="227012" cy="1762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88" name="Straight Connector 687">
            <a:extLst>
              <a:ext uri="{FF2B5EF4-FFF2-40B4-BE49-F238E27FC236}">
                <a16:creationId xmlns:a16="http://schemas.microsoft.com/office/drawing/2014/main" id="{00000000-0008-0000-0500-0000B0020000}"/>
              </a:ext>
            </a:extLst>
          </xdr:cNvPr>
          <xdr:cNvCxnSpPr>
            <a:stCxn id="684" idx="4"/>
          </xdr:cNvCxnSpPr>
        </xdr:nvCxnSpPr>
        <xdr:spPr bwMode="auto">
          <a:xfrm flipH="1" flipV="1">
            <a:off x="2032000" y="12169775"/>
            <a:ext cx="1" cy="12700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89" name="Straight Connector 688">
            <a:extLst>
              <a:ext uri="{FF2B5EF4-FFF2-40B4-BE49-F238E27FC236}">
                <a16:creationId xmlns:a16="http://schemas.microsoft.com/office/drawing/2014/main" id="{00000000-0008-0000-0500-0000B1020000}"/>
              </a:ext>
            </a:extLst>
          </xdr:cNvPr>
          <xdr:cNvCxnSpPr/>
        </xdr:nvCxnSpPr>
        <xdr:spPr bwMode="auto">
          <a:xfrm flipH="1" flipV="1">
            <a:off x="1905000" y="12109450"/>
            <a:ext cx="127000" cy="603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542925</xdr:colOff>
      <xdr:row>7</xdr:row>
      <xdr:rowOff>9525</xdr:rowOff>
    </xdr:from>
    <xdr:to>
      <xdr:col>13</xdr:col>
      <xdr:colOff>154089</xdr:colOff>
      <xdr:row>13</xdr:row>
      <xdr:rowOff>54686</xdr:rowOff>
    </xdr:to>
    <xdr:grpSp>
      <xdr:nvGrpSpPr>
        <xdr:cNvPr id="690" name="Group 347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GrpSpPr>
          <a:grpSpLocks/>
        </xdr:cNvGrpSpPr>
      </xdr:nvGrpSpPr>
      <xdr:grpSpPr bwMode="auto">
        <a:xfrm>
          <a:off x="8258175" y="1343025"/>
          <a:ext cx="335064" cy="1188161"/>
          <a:chOff x="146" y="108"/>
          <a:chExt cx="45" cy="149"/>
        </a:xfrm>
      </xdr:grpSpPr>
      <xdr:grpSp>
        <xdr:nvGrpSpPr>
          <xdr:cNvPr id="691" name="Group 348">
            <a:extLst>
              <a:ext uri="{FF2B5EF4-FFF2-40B4-BE49-F238E27FC236}">
                <a16:creationId xmlns:a16="http://schemas.microsoft.com/office/drawing/2014/main" id="{00000000-0008-0000-0500-0000B3020000}"/>
              </a:ext>
            </a:extLst>
          </xdr:cNvPr>
          <xdr:cNvGrpSpPr>
            <a:grpSpLocks/>
          </xdr:cNvGrpSpPr>
        </xdr:nvGrpSpPr>
        <xdr:grpSpPr bwMode="auto">
          <a:xfrm>
            <a:off x="146" y="108"/>
            <a:ext cx="45" cy="149"/>
            <a:chOff x="146" y="108"/>
            <a:chExt cx="45" cy="149"/>
          </a:xfrm>
        </xdr:grpSpPr>
        <xdr:sp macro="" textlink="">
          <xdr:nvSpPr>
            <xdr:cNvPr id="695" name="Oval 349">
              <a:extLst>
                <a:ext uri="{FF2B5EF4-FFF2-40B4-BE49-F238E27FC236}">
                  <a16:creationId xmlns:a16="http://schemas.microsoft.com/office/drawing/2014/main" id="{00000000-0008-0000-0500-0000B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08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96" name="Oval 350">
              <a:extLst>
                <a:ext uri="{FF2B5EF4-FFF2-40B4-BE49-F238E27FC236}">
                  <a16:creationId xmlns:a16="http://schemas.microsoft.com/office/drawing/2014/main" id="{00000000-0008-0000-0500-0000B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246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97" name="Rectangle 351">
              <a:extLst>
                <a:ext uri="{FF2B5EF4-FFF2-40B4-BE49-F238E27FC236}">
                  <a16:creationId xmlns:a16="http://schemas.microsoft.com/office/drawing/2014/main" id="{00000000-0008-0000-0500-0000B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14"/>
              <a:ext cx="45" cy="137"/>
            </a:xfrm>
            <a:prstGeom prst="rect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692" name="Line 352">
            <a:extLst>
              <a:ext uri="{FF2B5EF4-FFF2-40B4-BE49-F238E27FC236}">
                <a16:creationId xmlns:a16="http://schemas.microsoft.com/office/drawing/2014/main" id="{00000000-0008-0000-0500-0000B4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0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3" name="Line 353">
            <a:extLst>
              <a:ext uri="{FF2B5EF4-FFF2-40B4-BE49-F238E27FC236}">
                <a16:creationId xmlns:a16="http://schemas.microsoft.com/office/drawing/2014/main" id="{00000000-0008-0000-0500-0000B5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2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4" name="Line 354">
            <a:extLst>
              <a:ext uri="{FF2B5EF4-FFF2-40B4-BE49-F238E27FC236}">
                <a16:creationId xmlns:a16="http://schemas.microsoft.com/office/drawing/2014/main" id="{00000000-0008-0000-0500-0000B6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5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128587</xdr:colOff>
      <xdr:row>6</xdr:row>
      <xdr:rowOff>95250</xdr:rowOff>
    </xdr:from>
    <xdr:to>
      <xdr:col>12</xdr:col>
      <xdr:colOff>542925</xdr:colOff>
      <xdr:row>13</xdr:row>
      <xdr:rowOff>10828</xdr:rowOff>
    </xdr:to>
    <xdr:cxnSp macro="">
      <xdr:nvCxnSpPr>
        <xdr:cNvPr id="698" name="Elbow Connector 697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CxnSpPr>
          <a:stCxn id="679" idx="2"/>
          <a:endCxn id="696" idx="2"/>
        </xdr:cNvCxnSpPr>
      </xdr:nvCxnSpPr>
      <xdr:spPr>
        <a:xfrm rot="16200000" flipH="1">
          <a:off x="6112017" y="779320"/>
          <a:ext cx="1249078" cy="1023938"/>
        </a:xfrm>
        <a:prstGeom prst="bentConnector4">
          <a:avLst>
            <a:gd name="adj1" fmla="val -18301"/>
            <a:gd name="adj2" fmla="val 5212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</xdr:row>
      <xdr:rowOff>85725</xdr:rowOff>
    </xdr:from>
    <xdr:to>
      <xdr:col>15</xdr:col>
      <xdr:colOff>525564</xdr:colOff>
      <xdr:row>19</xdr:row>
      <xdr:rowOff>130886</xdr:rowOff>
    </xdr:to>
    <xdr:grpSp>
      <xdr:nvGrpSpPr>
        <xdr:cNvPr id="699" name="Group 347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GrpSpPr>
          <a:grpSpLocks/>
        </xdr:cNvGrpSpPr>
      </xdr:nvGrpSpPr>
      <xdr:grpSpPr bwMode="auto">
        <a:xfrm>
          <a:off x="10086975" y="2562225"/>
          <a:ext cx="220764" cy="1188161"/>
          <a:chOff x="146" y="108"/>
          <a:chExt cx="45" cy="149"/>
        </a:xfrm>
      </xdr:grpSpPr>
      <xdr:grpSp>
        <xdr:nvGrpSpPr>
          <xdr:cNvPr id="700" name="Group 348">
            <a:extLst>
              <a:ext uri="{FF2B5EF4-FFF2-40B4-BE49-F238E27FC236}">
                <a16:creationId xmlns:a16="http://schemas.microsoft.com/office/drawing/2014/main" id="{00000000-0008-0000-0500-0000BC020000}"/>
              </a:ext>
            </a:extLst>
          </xdr:cNvPr>
          <xdr:cNvGrpSpPr>
            <a:grpSpLocks/>
          </xdr:cNvGrpSpPr>
        </xdr:nvGrpSpPr>
        <xdr:grpSpPr bwMode="auto">
          <a:xfrm>
            <a:off x="146" y="108"/>
            <a:ext cx="45" cy="149"/>
            <a:chOff x="146" y="108"/>
            <a:chExt cx="45" cy="149"/>
          </a:xfrm>
        </xdr:grpSpPr>
        <xdr:sp macro="" textlink="">
          <xdr:nvSpPr>
            <xdr:cNvPr id="704" name="Oval 349">
              <a:extLst>
                <a:ext uri="{FF2B5EF4-FFF2-40B4-BE49-F238E27FC236}">
                  <a16:creationId xmlns:a16="http://schemas.microsoft.com/office/drawing/2014/main" id="{00000000-0008-0000-0500-0000C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08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05" name="Oval 350">
              <a:extLst>
                <a:ext uri="{FF2B5EF4-FFF2-40B4-BE49-F238E27FC236}">
                  <a16:creationId xmlns:a16="http://schemas.microsoft.com/office/drawing/2014/main" id="{00000000-0008-0000-0500-0000C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246"/>
              <a:ext cx="45" cy="11"/>
            </a:xfrm>
            <a:prstGeom prst="ellipse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06" name="Rectangle 351">
              <a:extLst>
                <a:ext uri="{FF2B5EF4-FFF2-40B4-BE49-F238E27FC236}">
                  <a16:creationId xmlns:a16="http://schemas.microsoft.com/office/drawing/2014/main" id="{00000000-0008-0000-0500-0000C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" y="114"/>
              <a:ext cx="45" cy="137"/>
            </a:xfrm>
            <a:prstGeom prst="rect">
              <a:avLst/>
            </a:prstGeom>
            <a:gradFill rotWithShape="0">
              <a:gsLst>
                <a:gs pos="0">
                  <a:srgbClr val="767676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76767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701" name="Line 352">
            <a:extLst>
              <a:ext uri="{FF2B5EF4-FFF2-40B4-BE49-F238E27FC236}">
                <a16:creationId xmlns:a16="http://schemas.microsoft.com/office/drawing/2014/main" id="{00000000-0008-0000-0500-0000BD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0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2" name="Line 353">
            <a:extLst>
              <a:ext uri="{FF2B5EF4-FFF2-40B4-BE49-F238E27FC236}">
                <a16:creationId xmlns:a16="http://schemas.microsoft.com/office/drawing/2014/main" id="{00000000-0008-0000-0500-0000BE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2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3" name="Line 354">
            <a:extLst>
              <a:ext uri="{FF2B5EF4-FFF2-40B4-BE49-F238E27FC236}">
                <a16:creationId xmlns:a16="http://schemas.microsoft.com/office/drawing/2014/main" id="{00000000-0008-0000-0500-0000BF020000}"/>
              </a:ext>
            </a:extLst>
          </xdr:cNvPr>
          <xdr:cNvSpPr>
            <a:spLocks noChangeShapeType="1"/>
          </xdr:cNvSpPr>
        </xdr:nvSpPr>
        <xdr:spPr bwMode="auto">
          <a:xfrm>
            <a:off x="146" y="135"/>
            <a:ext cx="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523875</xdr:colOff>
      <xdr:row>19</xdr:row>
      <xdr:rowOff>161924</xdr:rowOff>
    </xdr:from>
    <xdr:to>
      <xdr:col>15</xdr:col>
      <xdr:colOff>142875</xdr:colOff>
      <xdr:row>20</xdr:row>
      <xdr:rowOff>152399</xdr:rowOff>
    </xdr:to>
    <xdr:grpSp>
      <xdr:nvGrpSpPr>
        <xdr:cNvPr id="707" name="Group 179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GrpSpPr>
          <a:grpSpLocks/>
        </xdr:cNvGrpSpPr>
      </xdr:nvGrpSpPr>
      <xdr:grpSpPr bwMode="auto">
        <a:xfrm flipH="1">
          <a:off x="9572625" y="3781424"/>
          <a:ext cx="352425" cy="180975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708" name="AutoShape 180">
            <a:extLst>
              <a:ext uri="{FF2B5EF4-FFF2-40B4-BE49-F238E27FC236}">
                <a16:creationId xmlns:a16="http://schemas.microsoft.com/office/drawing/2014/main" id="{00000000-0008-0000-0500-0000C4020000}"/>
              </a:ext>
            </a:extLst>
          </xdr:cNvPr>
          <xdr:cNvSpPr>
            <a:spLocks noChangeArrowheads="1"/>
          </xdr:cNvSpPr>
        </xdr:nvSpPr>
        <xdr:spPr bwMode="auto">
          <a:xfrm rot="-10800000">
            <a:off x="371" y="505"/>
            <a:ext cx="58" cy="1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709" name="Group 181">
            <a:extLst>
              <a:ext uri="{FF2B5EF4-FFF2-40B4-BE49-F238E27FC236}">
                <a16:creationId xmlns:a16="http://schemas.microsoft.com/office/drawing/2014/main" id="{00000000-0008-0000-0500-0000C502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710" name="Rectangle 182">
              <a:extLst>
                <a:ext uri="{FF2B5EF4-FFF2-40B4-BE49-F238E27FC236}">
                  <a16:creationId xmlns:a16="http://schemas.microsoft.com/office/drawing/2014/main" id="{00000000-0008-0000-0500-0000C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711" name="Group 183">
              <a:extLst>
                <a:ext uri="{FF2B5EF4-FFF2-40B4-BE49-F238E27FC236}">
                  <a16:creationId xmlns:a16="http://schemas.microsoft.com/office/drawing/2014/main" id="{00000000-0008-0000-0500-0000C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712" name="Oval 184">
                <a:extLst>
                  <a:ext uri="{FF2B5EF4-FFF2-40B4-BE49-F238E27FC236}">
                    <a16:creationId xmlns:a16="http://schemas.microsoft.com/office/drawing/2014/main" id="{00000000-0008-0000-0500-0000C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13" name="Oval 185">
                <a:extLst>
                  <a:ext uri="{FF2B5EF4-FFF2-40B4-BE49-F238E27FC236}">
                    <a16:creationId xmlns:a16="http://schemas.microsoft.com/office/drawing/2014/main" id="{00000000-0008-0000-0500-0000C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15</xdr:col>
      <xdr:colOff>415181</xdr:colOff>
      <xdr:row>19</xdr:row>
      <xdr:rowOff>130886</xdr:rowOff>
    </xdr:from>
    <xdr:to>
      <xdr:col>16</xdr:col>
      <xdr:colOff>126066</xdr:colOff>
      <xdr:row>20</xdr:row>
      <xdr:rowOff>171450</xdr:rowOff>
    </xdr:to>
    <xdr:cxnSp macro="">
      <xdr:nvCxnSpPr>
        <xdr:cNvPr id="714" name="Elbow Connector 713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CxnSpPr>
          <a:stCxn id="705" idx="4"/>
        </xdr:cNvCxnSpPr>
      </xdr:nvCxnSpPr>
      <xdr:spPr>
        <a:xfrm rot="16200000" flipH="1">
          <a:off x="8994292" y="3134175"/>
          <a:ext cx="231064" cy="320485"/>
        </a:xfrm>
        <a:prstGeom prst="bentConnector3">
          <a:avLst>
            <a:gd name="adj1" fmla="val 198934"/>
          </a:avLst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124441</xdr:colOff>
      <xdr:row>19</xdr:row>
      <xdr:rowOff>130885</xdr:rowOff>
    </xdr:from>
    <xdr:to>
      <xdr:col>15</xdr:col>
      <xdr:colOff>415183</xdr:colOff>
      <xdr:row>20</xdr:row>
      <xdr:rowOff>54370</xdr:rowOff>
    </xdr:to>
    <xdr:cxnSp macro="">
      <xdr:nvCxnSpPr>
        <xdr:cNvPr id="715" name="Elbow Connector 714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CxnSpPr>
          <a:stCxn id="705" idx="4"/>
          <a:endCxn id="712" idx="2"/>
        </xdr:cNvCxnSpPr>
      </xdr:nvCxnSpPr>
      <xdr:spPr>
        <a:xfrm rot="5400000">
          <a:off x="8747219" y="3090507"/>
          <a:ext cx="113985" cy="290742"/>
        </a:xfrm>
        <a:prstGeom prst="bentConnector2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514351</xdr:colOff>
      <xdr:row>18</xdr:row>
      <xdr:rowOff>152400</xdr:rowOff>
    </xdr:from>
    <xdr:to>
      <xdr:col>16</xdr:col>
      <xdr:colOff>126067</xdr:colOff>
      <xdr:row>19</xdr:row>
      <xdr:rowOff>114300</xdr:rowOff>
    </xdr:to>
    <xdr:cxnSp macro="">
      <xdr:nvCxnSpPr>
        <xdr:cNvPr id="716" name="Elbow Connector 715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CxnSpPr/>
      </xdr:nvCxnSpPr>
      <xdr:spPr>
        <a:xfrm rot="16200000" flipV="1">
          <a:off x="9083209" y="2975442"/>
          <a:ext cx="152400" cy="221316"/>
        </a:xfrm>
        <a:prstGeom prst="bentConnector2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352425</xdr:colOff>
      <xdr:row>15</xdr:row>
      <xdr:rowOff>161925</xdr:rowOff>
    </xdr:from>
    <xdr:to>
      <xdr:col>13</xdr:col>
      <xdr:colOff>514350</xdr:colOff>
      <xdr:row>17</xdr:row>
      <xdr:rowOff>152400</xdr:rowOff>
    </xdr:to>
    <xdr:grpSp>
      <xdr:nvGrpSpPr>
        <xdr:cNvPr id="717" name="Group 322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GrpSpPr>
          <a:grpSpLocks/>
        </xdr:cNvGrpSpPr>
      </xdr:nvGrpSpPr>
      <xdr:grpSpPr bwMode="auto">
        <a:xfrm rot="5400000">
          <a:off x="8686800" y="3124200"/>
          <a:ext cx="371475" cy="161925"/>
          <a:chOff x="2933" y="2069"/>
          <a:chExt cx="175" cy="59"/>
        </a:xfrm>
      </xdr:grpSpPr>
      <xdr:sp macro="" textlink="">
        <xdr:nvSpPr>
          <xdr:cNvPr id="718" name="Oval 323">
            <a:extLst>
              <a:ext uri="{FF2B5EF4-FFF2-40B4-BE49-F238E27FC236}">
                <a16:creationId xmlns:a16="http://schemas.microsoft.com/office/drawing/2014/main" id="{00000000-0008-0000-0500-0000CE02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19" name="Oval 324">
            <a:extLst>
              <a:ext uri="{FF2B5EF4-FFF2-40B4-BE49-F238E27FC236}">
                <a16:creationId xmlns:a16="http://schemas.microsoft.com/office/drawing/2014/main" id="{00000000-0008-0000-0500-0000CF02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20" name="Rectangle 325">
            <a:extLst>
              <a:ext uri="{FF2B5EF4-FFF2-40B4-BE49-F238E27FC236}">
                <a16:creationId xmlns:a16="http://schemas.microsoft.com/office/drawing/2014/main" id="{00000000-0008-0000-0500-0000D002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475958</xdr:colOff>
      <xdr:row>13</xdr:row>
      <xdr:rowOff>129584</xdr:rowOff>
    </xdr:from>
    <xdr:to>
      <xdr:col>15</xdr:col>
      <xdr:colOff>304800</xdr:colOff>
      <xdr:row>16</xdr:row>
      <xdr:rowOff>407</xdr:rowOff>
    </xdr:to>
    <xdr:cxnSp macro="">
      <xdr:nvCxnSpPr>
        <xdr:cNvPr id="721" name="Elbow Connector 720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CxnSpPr>
          <a:stCxn id="684" idx="0"/>
          <a:endCxn id="704" idx="2"/>
        </xdr:cNvCxnSpPr>
      </xdr:nvCxnSpPr>
      <xdr:spPr>
        <a:xfrm flipV="1">
          <a:off x="8400758" y="2034584"/>
          <a:ext cx="438442" cy="442323"/>
        </a:xfrm>
        <a:prstGeom prst="bentConnector3">
          <a:avLst>
            <a:gd name="adj1" fmla="val 50000"/>
          </a:avLst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342493</xdr:colOff>
      <xdr:row>16</xdr:row>
      <xdr:rowOff>152110</xdr:rowOff>
    </xdr:from>
    <xdr:to>
      <xdr:col>14</xdr:col>
      <xdr:colOff>523876</xdr:colOff>
      <xdr:row>19</xdr:row>
      <xdr:rowOff>188317</xdr:rowOff>
    </xdr:to>
    <xdr:cxnSp macro="">
      <xdr:nvCxnSpPr>
        <xdr:cNvPr id="722" name="Elbow Connector 721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CxnSpPr>
          <a:stCxn id="710" idx="3"/>
          <a:endCxn id="684" idx="6"/>
        </xdr:cNvCxnSpPr>
      </xdr:nvCxnSpPr>
      <xdr:spPr>
        <a:xfrm rot="10800000">
          <a:off x="8267293" y="2628610"/>
          <a:ext cx="181383" cy="607707"/>
        </a:xfrm>
        <a:prstGeom prst="bentConnector2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154090</xdr:colOff>
      <xdr:row>7</xdr:row>
      <xdr:rowOff>53384</xdr:rowOff>
    </xdr:from>
    <xdr:to>
      <xdr:col>14</xdr:col>
      <xdr:colOff>324257</xdr:colOff>
      <xdr:row>15</xdr:row>
      <xdr:rowOff>57441</xdr:rowOff>
    </xdr:to>
    <xdr:cxnSp macro="">
      <xdr:nvCxnSpPr>
        <xdr:cNvPr id="723" name="Elbow Connector 722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CxnSpPr>
          <a:stCxn id="684" idx="2"/>
          <a:endCxn id="695" idx="6"/>
        </xdr:cNvCxnSpPr>
      </xdr:nvCxnSpPr>
      <xdr:spPr>
        <a:xfrm rot="16200000" flipV="1">
          <a:off x="7095145" y="1189529"/>
          <a:ext cx="1528057" cy="779767"/>
        </a:xfrm>
        <a:prstGeom prst="bentConnector2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43706</xdr:colOff>
      <xdr:row>7</xdr:row>
      <xdr:rowOff>9526</xdr:rowOff>
    </xdr:from>
    <xdr:to>
      <xdr:col>16</xdr:col>
      <xdr:colOff>357267</xdr:colOff>
      <xdr:row>10</xdr:row>
      <xdr:rowOff>187970</xdr:rowOff>
    </xdr:to>
    <xdr:cxnSp macro="">
      <xdr:nvCxnSpPr>
        <xdr:cNvPr id="724" name="Elbow Connector 723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CxnSpPr>
          <a:stCxn id="695" idx="0"/>
          <a:endCxn id="747" idx="2"/>
        </xdr:cNvCxnSpPr>
      </xdr:nvCxnSpPr>
      <xdr:spPr>
        <a:xfrm rot="16200000" flipH="1">
          <a:off x="8055115" y="75317"/>
          <a:ext cx="749944" cy="2142361"/>
        </a:xfrm>
        <a:prstGeom prst="bentConnector4">
          <a:avLst>
            <a:gd name="adj1" fmla="val -30482"/>
            <a:gd name="adj2" fmla="val 4890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108692</xdr:colOff>
      <xdr:row>16</xdr:row>
      <xdr:rowOff>69139</xdr:rowOff>
    </xdr:from>
    <xdr:to>
      <xdr:col>13</xdr:col>
      <xdr:colOff>251567</xdr:colOff>
      <xdr:row>17</xdr:row>
      <xdr:rowOff>31039</xdr:rowOff>
    </xdr:to>
    <xdr:grpSp>
      <xdr:nvGrpSpPr>
        <xdr:cNvPr id="727" name="Group 95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GrpSpPr>
          <a:grpSpLocks/>
        </xdr:cNvGrpSpPr>
      </xdr:nvGrpSpPr>
      <xdr:grpSpPr bwMode="auto">
        <a:xfrm>
          <a:off x="8547842" y="3117139"/>
          <a:ext cx="142875" cy="152400"/>
          <a:chOff x="8751" y="1601"/>
          <a:chExt cx="38" cy="42"/>
        </a:xfrm>
      </xdr:grpSpPr>
      <xdr:sp macro="" textlink="">
        <xdr:nvSpPr>
          <xdr:cNvPr id="728" name="Rectangle 96">
            <a:extLst>
              <a:ext uri="{FF2B5EF4-FFF2-40B4-BE49-F238E27FC236}">
                <a16:creationId xmlns:a16="http://schemas.microsoft.com/office/drawing/2014/main" id="{00000000-0008-0000-0500-0000D802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729" name="Group 97">
            <a:extLst>
              <a:ext uri="{FF2B5EF4-FFF2-40B4-BE49-F238E27FC236}">
                <a16:creationId xmlns:a16="http://schemas.microsoft.com/office/drawing/2014/main" id="{00000000-0008-0000-0500-0000D902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733" name="AutoShape 98">
              <a:extLst>
                <a:ext uri="{FF2B5EF4-FFF2-40B4-BE49-F238E27FC236}">
                  <a16:creationId xmlns:a16="http://schemas.microsoft.com/office/drawing/2014/main" id="{00000000-0008-0000-0500-0000DD02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34" name="Rectangle 99">
              <a:extLst>
                <a:ext uri="{FF2B5EF4-FFF2-40B4-BE49-F238E27FC236}">
                  <a16:creationId xmlns:a16="http://schemas.microsoft.com/office/drawing/2014/main" id="{00000000-0008-0000-0500-0000D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35" name="Rectangle 100">
              <a:extLst>
                <a:ext uri="{FF2B5EF4-FFF2-40B4-BE49-F238E27FC236}">
                  <a16:creationId xmlns:a16="http://schemas.microsoft.com/office/drawing/2014/main" id="{00000000-0008-0000-0500-0000D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730" name="Group 101">
            <a:extLst>
              <a:ext uri="{FF2B5EF4-FFF2-40B4-BE49-F238E27FC236}">
                <a16:creationId xmlns:a16="http://schemas.microsoft.com/office/drawing/2014/main" id="{00000000-0008-0000-0500-0000DA02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731" name="Rectangle 102">
              <a:extLst>
                <a:ext uri="{FF2B5EF4-FFF2-40B4-BE49-F238E27FC236}">
                  <a16:creationId xmlns:a16="http://schemas.microsoft.com/office/drawing/2014/main" id="{00000000-0008-0000-0500-0000D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32" name="AutoShape 103">
              <a:extLst>
                <a:ext uri="{FF2B5EF4-FFF2-40B4-BE49-F238E27FC236}">
                  <a16:creationId xmlns:a16="http://schemas.microsoft.com/office/drawing/2014/main" id="{00000000-0008-0000-0500-0000DC02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13</xdr:col>
      <xdr:colOff>43706</xdr:colOff>
      <xdr:row>13</xdr:row>
      <xdr:rowOff>54686</xdr:rowOff>
    </xdr:from>
    <xdr:to>
      <xdr:col>13</xdr:col>
      <xdr:colOff>121881</xdr:colOff>
      <xdr:row>16</xdr:row>
      <xdr:rowOff>174292</xdr:rowOff>
    </xdr:to>
    <xdr:cxnSp macro="">
      <xdr:nvCxnSpPr>
        <xdr:cNvPr id="736" name="Elbow Connector 735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CxnSpPr>
          <a:stCxn id="696" idx="4"/>
          <a:endCxn id="733" idx="2"/>
        </xdr:cNvCxnSpPr>
      </xdr:nvCxnSpPr>
      <xdr:spPr>
        <a:xfrm rot="16200000" flipH="1">
          <a:off x="7023866" y="2647151"/>
          <a:ext cx="691106" cy="78175"/>
        </a:xfrm>
        <a:prstGeom prst="bentConnector2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19</xdr:row>
      <xdr:rowOff>114300</xdr:rowOff>
    </xdr:from>
    <xdr:to>
      <xdr:col>16</xdr:col>
      <xdr:colOff>276225</xdr:colOff>
      <xdr:row>20</xdr:row>
      <xdr:rowOff>171450</xdr:rowOff>
    </xdr:to>
    <xdr:grpSp>
      <xdr:nvGrpSpPr>
        <xdr:cNvPr id="739" name="Group 738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GrpSpPr/>
      </xdr:nvGrpSpPr>
      <xdr:grpSpPr>
        <a:xfrm>
          <a:off x="10410825" y="3733800"/>
          <a:ext cx="247650" cy="247650"/>
          <a:chOff x="609600" y="11658600"/>
          <a:chExt cx="566738" cy="561975"/>
        </a:xfrm>
      </xdr:grpSpPr>
      <xdr:sp macro="" textlink="">
        <xdr:nvSpPr>
          <xdr:cNvPr id="740" name="Oval 323">
            <a:extLst>
              <a:ext uri="{FF2B5EF4-FFF2-40B4-BE49-F238E27FC236}">
                <a16:creationId xmlns:a16="http://schemas.microsoft.com/office/drawing/2014/main" id="{00000000-0008-0000-0500-0000E402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741" name="Straight Connector 740">
            <a:extLst>
              <a:ext uri="{FF2B5EF4-FFF2-40B4-BE49-F238E27FC236}">
                <a16:creationId xmlns:a16="http://schemas.microsoft.com/office/drawing/2014/main" id="{00000000-0008-0000-0500-0000E502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42" name="Straight Arrow Connector 741">
            <a:extLst>
              <a:ext uri="{FF2B5EF4-FFF2-40B4-BE49-F238E27FC236}">
                <a16:creationId xmlns:a16="http://schemas.microsoft.com/office/drawing/2014/main" id="{00000000-0008-0000-0500-0000E602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43" name="Straight Connector 742">
            <a:extLst>
              <a:ext uri="{FF2B5EF4-FFF2-40B4-BE49-F238E27FC236}">
                <a16:creationId xmlns:a16="http://schemas.microsoft.com/office/drawing/2014/main" id="{00000000-0008-0000-0500-0000E702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16</xdr:col>
      <xdr:colOff>357268</xdr:colOff>
      <xdr:row>8</xdr:row>
      <xdr:rowOff>166607</xdr:rowOff>
    </xdr:from>
    <xdr:to>
      <xdr:col>17</xdr:col>
      <xdr:colOff>61832</xdr:colOff>
      <xdr:row>13</xdr:row>
      <xdr:rowOff>14207</xdr:rowOff>
    </xdr:to>
    <xdr:grpSp>
      <xdr:nvGrpSpPr>
        <xdr:cNvPr id="744" name="Group 322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GrpSpPr>
          <a:grpSpLocks/>
        </xdr:cNvGrpSpPr>
      </xdr:nvGrpSpPr>
      <xdr:grpSpPr bwMode="auto">
        <a:xfrm rot="5400000">
          <a:off x="10496550" y="1933575"/>
          <a:ext cx="800100" cy="314164"/>
          <a:chOff x="2933" y="2069"/>
          <a:chExt cx="173" cy="198"/>
        </a:xfrm>
      </xdr:grpSpPr>
      <xdr:sp macro="" textlink="">
        <xdr:nvSpPr>
          <xdr:cNvPr id="745" name="Oval 323">
            <a:extLst>
              <a:ext uri="{FF2B5EF4-FFF2-40B4-BE49-F238E27FC236}">
                <a16:creationId xmlns:a16="http://schemas.microsoft.com/office/drawing/2014/main" id="{00000000-0008-0000-0500-0000E902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39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46" name="Oval 324">
            <a:extLst>
              <a:ext uri="{FF2B5EF4-FFF2-40B4-BE49-F238E27FC236}">
                <a16:creationId xmlns:a16="http://schemas.microsoft.com/office/drawing/2014/main" id="{00000000-0008-0000-0500-0000EA02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54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47" name="Rectangle 325">
            <a:extLst>
              <a:ext uri="{FF2B5EF4-FFF2-40B4-BE49-F238E27FC236}">
                <a16:creationId xmlns:a16="http://schemas.microsoft.com/office/drawing/2014/main" id="{00000000-0008-0000-0500-0000EB02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19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495300</xdr:colOff>
      <xdr:row>8</xdr:row>
      <xdr:rowOff>180975</xdr:rowOff>
    </xdr:from>
    <xdr:to>
      <xdr:col>18</xdr:col>
      <xdr:colOff>199864</xdr:colOff>
      <xdr:row>13</xdr:row>
      <xdr:rowOff>28575</xdr:rowOff>
    </xdr:to>
    <xdr:grpSp>
      <xdr:nvGrpSpPr>
        <xdr:cNvPr id="748" name="Group 32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GrpSpPr>
          <a:grpSpLocks/>
        </xdr:cNvGrpSpPr>
      </xdr:nvGrpSpPr>
      <xdr:grpSpPr bwMode="auto">
        <a:xfrm rot="5400000">
          <a:off x="11244182" y="1947943"/>
          <a:ext cx="800100" cy="314164"/>
          <a:chOff x="2933" y="2069"/>
          <a:chExt cx="173" cy="198"/>
        </a:xfrm>
      </xdr:grpSpPr>
      <xdr:sp macro="" textlink="">
        <xdr:nvSpPr>
          <xdr:cNvPr id="749" name="Oval 323">
            <a:extLst>
              <a:ext uri="{FF2B5EF4-FFF2-40B4-BE49-F238E27FC236}">
                <a16:creationId xmlns:a16="http://schemas.microsoft.com/office/drawing/2014/main" id="{00000000-0008-0000-0500-0000ED02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39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50" name="Oval 324">
            <a:extLst>
              <a:ext uri="{FF2B5EF4-FFF2-40B4-BE49-F238E27FC236}">
                <a16:creationId xmlns:a16="http://schemas.microsoft.com/office/drawing/2014/main" id="{00000000-0008-0000-0500-0000EE02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54" cy="198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51" name="Rectangle 325">
            <a:extLst>
              <a:ext uri="{FF2B5EF4-FFF2-40B4-BE49-F238E27FC236}">
                <a16:creationId xmlns:a16="http://schemas.microsoft.com/office/drawing/2014/main" id="{00000000-0008-0000-0500-0000EF02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19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16</xdr:col>
      <xdr:colOff>514350</xdr:colOff>
      <xdr:row>5</xdr:row>
      <xdr:rowOff>80973</xdr:rowOff>
    </xdr:from>
    <xdr:to>
      <xdr:col>21</xdr:col>
      <xdr:colOff>0</xdr:colOff>
      <xdr:row>8</xdr:row>
      <xdr:rowOff>166607</xdr:rowOff>
    </xdr:to>
    <xdr:cxnSp macro="">
      <xdr:nvCxnSpPr>
        <xdr:cNvPr id="753" name="Elbow Connector 752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CxnSpPr>
          <a:stCxn id="746" idx="2"/>
          <a:endCxn id="725" idx="1"/>
        </xdr:cNvCxnSpPr>
      </xdr:nvCxnSpPr>
      <xdr:spPr>
        <a:xfrm rot="5400000" flipH="1" flipV="1">
          <a:off x="10501358" y="38065"/>
          <a:ext cx="657134" cy="2266950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358028</xdr:colOff>
      <xdr:row>11</xdr:row>
      <xdr:rowOff>9525</xdr:rowOff>
    </xdr:from>
    <xdr:to>
      <xdr:col>19</xdr:col>
      <xdr:colOff>361953</xdr:colOff>
      <xdr:row>14</xdr:row>
      <xdr:rowOff>142875</xdr:rowOff>
    </xdr:to>
    <xdr:cxnSp macro="">
      <xdr:nvCxnSpPr>
        <xdr:cNvPr id="760" name="Elbow Connector 759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CxnSpPr>
          <a:endCxn id="64" idx="4"/>
        </xdr:cNvCxnSpPr>
      </xdr:nvCxnSpPr>
      <xdr:spPr>
        <a:xfrm rot="16200000" flipV="1">
          <a:off x="10980366" y="1883987"/>
          <a:ext cx="704850" cy="3925"/>
        </a:xfrm>
        <a:prstGeom prst="bentConnector3">
          <a:avLst>
            <a:gd name="adj1" fmla="val 50000"/>
          </a:avLst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104775</xdr:colOff>
      <xdr:row>3</xdr:row>
      <xdr:rowOff>157409</xdr:rowOff>
    </xdr:from>
    <xdr:to>
      <xdr:col>18</xdr:col>
      <xdr:colOff>42782</xdr:colOff>
      <xdr:row>13</xdr:row>
      <xdr:rowOff>28576</xdr:rowOff>
    </xdr:to>
    <xdr:cxnSp macro="">
      <xdr:nvCxnSpPr>
        <xdr:cNvPr id="763" name="Elbow Connector 762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CxnSpPr>
          <a:stCxn id="749" idx="6"/>
          <a:endCxn id="15" idx="2"/>
        </xdr:cNvCxnSpPr>
      </xdr:nvCxnSpPr>
      <xdr:spPr>
        <a:xfrm rot="5400000" flipH="1">
          <a:off x="8939295" y="847889"/>
          <a:ext cx="1776167" cy="1157207"/>
        </a:xfrm>
        <a:prstGeom prst="bentConnector5">
          <a:avLst>
            <a:gd name="adj1" fmla="val -12870"/>
            <a:gd name="adj2" fmla="val 29821"/>
            <a:gd name="adj3" fmla="val 94101"/>
          </a:avLst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513969</xdr:colOff>
      <xdr:row>2</xdr:row>
      <xdr:rowOff>99765</xdr:rowOff>
    </xdr:from>
    <xdr:to>
      <xdr:col>16</xdr:col>
      <xdr:colOff>104775</xdr:colOff>
      <xdr:row>19</xdr:row>
      <xdr:rowOff>180974</xdr:rowOff>
    </xdr:to>
    <xdr:cxnSp macro="">
      <xdr:nvCxnSpPr>
        <xdr:cNvPr id="769" name="Elbow Connector 768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CxnSpPr>
          <a:stCxn id="15" idx="0"/>
          <a:endCxn id="775" idx="0"/>
        </xdr:cNvCxnSpPr>
      </xdr:nvCxnSpPr>
      <xdr:spPr>
        <a:xfrm rot="16200000" flipH="1" flipV="1">
          <a:off x="4135917" y="-2112483"/>
          <a:ext cx="3319709" cy="8125206"/>
        </a:xfrm>
        <a:prstGeom prst="bentConnector3">
          <a:avLst>
            <a:gd name="adj1" fmla="val -6592"/>
          </a:avLst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19</xdr:row>
      <xdr:rowOff>180975</xdr:rowOff>
    </xdr:from>
    <xdr:to>
      <xdr:col>2</xdr:col>
      <xdr:colOff>581025</xdr:colOff>
      <xdr:row>20</xdr:row>
      <xdr:rowOff>76200</xdr:rowOff>
    </xdr:to>
    <xdr:grpSp>
      <xdr:nvGrpSpPr>
        <xdr:cNvPr id="772" name="Group 322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GrpSpPr>
          <a:grpSpLocks/>
        </xdr:cNvGrpSpPr>
      </xdr:nvGrpSpPr>
      <xdr:grpSpPr bwMode="auto">
        <a:xfrm>
          <a:off x="1352550" y="3800475"/>
          <a:ext cx="133350" cy="85725"/>
          <a:chOff x="2933" y="2069"/>
          <a:chExt cx="175" cy="59"/>
        </a:xfrm>
      </xdr:grpSpPr>
      <xdr:sp macro="" textlink="">
        <xdr:nvSpPr>
          <xdr:cNvPr id="773" name="Oval 323">
            <a:extLst>
              <a:ext uri="{FF2B5EF4-FFF2-40B4-BE49-F238E27FC236}">
                <a16:creationId xmlns:a16="http://schemas.microsoft.com/office/drawing/2014/main" id="{00000000-0008-0000-0500-00000503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74" name="Oval 324">
            <a:extLst>
              <a:ext uri="{FF2B5EF4-FFF2-40B4-BE49-F238E27FC236}">
                <a16:creationId xmlns:a16="http://schemas.microsoft.com/office/drawing/2014/main" id="{00000000-0008-0000-0500-00000603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75" name="Rectangle 325">
            <a:extLst>
              <a:ext uri="{FF2B5EF4-FFF2-40B4-BE49-F238E27FC236}">
                <a16:creationId xmlns:a16="http://schemas.microsoft.com/office/drawing/2014/main" id="{00000000-0008-0000-0500-00000703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0</xdr:col>
      <xdr:colOff>400050</xdr:colOff>
      <xdr:row>20</xdr:row>
      <xdr:rowOff>33338</xdr:rowOff>
    </xdr:from>
    <xdr:to>
      <xdr:col>2</xdr:col>
      <xdr:colOff>447675</xdr:colOff>
      <xdr:row>20</xdr:row>
      <xdr:rowOff>38100</xdr:rowOff>
    </xdr:to>
    <xdr:cxnSp macro="">
      <xdr:nvCxnSpPr>
        <xdr:cNvPr id="778" name="Straight Arrow Connector 777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CxnSpPr>
          <a:endCxn id="774" idx="2"/>
        </xdr:cNvCxnSpPr>
      </xdr:nvCxnSpPr>
      <xdr:spPr>
        <a:xfrm flipV="1">
          <a:off x="400050" y="3652838"/>
          <a:ext cx="1266825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2</xdr:row>
      <xdr:rowOff>171450</xdr:rowOff>
    </xdr:from>
    <xdr:to>
      <xdr:col>16</xdr:col>
      <xdr:colOff>504825</xdr:colOff>
      <xdr:row>24</xdr:row>
      <xdr:rowOff>19050</xdr:rowOff>
    </xdr:to>
    <xdr:sp macro="" textlink="">
      <xdr:nvSpPr>
        <xdr:cNvPr id="784" name="Freeform 783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SpPr/>
      </xdr:nvSpPr>
      <xdr:spPr>
        <a:xfrm>
          <a:off x="5886450" y="361950"/>
          <a:ext cx="3800475" cy="4105275"/>
        </a:xfrm>
        <a:custGeom>
          <a:avLst/>
          <a:gdLst>
            <a:gd name="connsiteX0" fmla="*/ 76200 w 3705225"/>
            <a:gd name="connsiteY0" fmla="*/ 1104900 h 4038600"/>
            <a:gd name="connsiteX1" fmla="*/ 0 w 3705225"/>
            <a:gd name="connsiteY1" fmla="*/ 895350 h 4038600"/>
            <a:gd name="connsiteX2" fmla="*/ 9525 w 3705225"/>
            <a:gd name="connsiteY2" fmla="*/ 561975 h 4038600"/>
            <a:gd name="connsiteX3" fmla="*/ 133350 w 3705225"/>
            <a:gd name="connsiteY3" fmla="*/ 180975 h 4038600"/>
            <a:gd name="connsiteX4" fmla="*/ 638175 w 3705225"/>
            <a:gd name="connsiteY4" fmla="*/ 0 h 4038600"/>
            <a:gd name="connsiteX5" fmla="*/ 1343025 w 3705225"/>
            <a:gd name="connsiteY5" fmla="*/ 0 h 4038600"/>
            <a:gd name="connsiteX6" fmla="*/ 2105025 w 3705225"/>
            <a:gd name="connsiteY6" fmla="*/ 190500 h 4038600"/>
            <a:gd name="connsiteX7" fmla="*/ 2486025 w 3705225"/>
            <a:gd name="connsiteY7" fmla="*/ 504825 h 4038600"/>
            <a:gd name="connsiteX8" fmla="*/ 2676525 w 3705225"/>
            <a:gd name="connsiteY8" fmla="*/ 1019175 h 4038600"/>
            <a:gd name="connsiteX9" fmla="*/ 2895600 w 3705225"/>
            <a:gd name="connsiteY9" fmla="*/ 1400175 h 4038600"/>
            <a:gd name="connsiteX10" fmla="*/ 3267075 w 3705225"/>
            <a:gd name="connsiteY10" fmla="*/ 1838325 h 4038600"/>
            <a:gd name="connsiteX11" fmla="*/ 3476625 w 3705225"/>
            <a:gd name="connsiteY11" fmla="*/ 2209800 h 4038600"/>
            <a:gd name="connsiteX12" fmla="*/ 3705225 w 3705225"/>
            <a:gd name="connsiteY12" fmla="*/ 3105150 h 4038600"/>
            <a:gd name="connsiteX13" fmla="*/ 3648075 w 3705225"/>
            <a:gd name="connsiteY13" fmla="*/ 3752850 h 4038600"/>
            <a:gd name="connsiteX14" fmla="*/ 3114675 w 3705225"/>
            <a:gd name="connsiteY14" fmla="*/ 4038600 h 4038600"/>
            <a:gd name="connsiteX15" fmla="*/ 2381250 w 3705225"/>
            <a:gd name="connsiteY15" fmla="*/ 3886200 h 4038600"/>
            <a:gd name="connsiteX16" fmla="*/ 1504950 w 3705225"/>
            <a:gd name="connsiteY16" fmla="*/ 3419475 h 4038600"/>
            <a:gd name="connsiteX17" fmla="*/ 1057275 w 3705225"/>
            <a:gd name="connsiteY17" fmla="*/ 2857500 h 4038600"/>
            <a:gd name="connsiteX18" fmla="*/ 657225 w 3705225"/>
            <a:gd name="connsiteY18" fmla="*/ 1962150 h 4038600"/>
            <a:gd name="connsiteX19" fmla="*/ 76200 w 3705225"/>
            <a:gd name="connsiteY19" fmla="*/ 1104900 h 4038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705225" h="4038600">
              <a:moveTo>
                <a:pt x="76200" y="1104900"/>
              </a:moveTo>
              <a:lnTo>
                <a:pt x="0" y="895350"/>
              </a:lnTo>
              <a:lnTo>
                <a:pt x="9525" y="561975"/>
              </a:lnTo>
              <a:lnTo>
                <a:pt x="133350" y="180975"/>
              </a:lnTo>
              <a:lnTo>
                <a:pt x="638175" y="0"/>
              </a:lnTo>
              <a:lnTo>
                <a:pt x="1343025" y="0"/>
              </a:lnTo>
              <a:lnTo>
                <a:pt x="2105025" y="190500"/>
              </a:lnTo>
              <a:lnTo>
                <a:pt x="2486025" y="504825"/>
              </a:lnTo>
              <a:lnTo>
                <a:pt x="2676525" y="1019175"/>
              </a:lnTo>
              <a:lnTo>
                <a:pt x="2895600" y="1400175"/>
              </a:lnTo>
              <a:lnTo>
                <a:pt x="3267075" y="1838325"/>
              </a:lnTo>
              <a:lnTo>
                <a:pt x="3476625" y="2209800"/>
              </a:lnTo>
              <a:lnTo>
                <a:pt x="3705225" y="3105150"/>
              </a:lnTo>
              <a:lnTo>
                <a:pt x="3648075" y="3752850"/>
              </a:lnTo>
              <a:lnTo>
                <a:pt x="3114675" y="4038600"/>
              </a:lnTo>
              <a:lnTo>
                <a:pt x="2381250" y="3886200"/>
              </a:lnTo>
              <a:lnTo>
                <a:pt x="1504950" y="3419475"/>
              </a:lnTo>
              <a:lnTo>
                <a:pt x="1057275" y="2857500"/>
              </a:lnTo>
              <a:lnTo>
                <a:pt x="657225" y="1962150"/>
              </a:lnTo>
              <a:lnTo>
                <a:pt x="76200" y="1104900"/>
              </a:lnTo>
              <a:close/>
            </a:path>
          </a:pathLst>
        </a:custGeom>
        <a:noFill/>
        <a:ln>
          <a:solidFill>
            <a:schemeClr val="accent2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228600</xdr:colOff>
      <xdr:row>1</xdr:row>
      <xdr:rowOff>180975</xdr:rowOff>
    </xdr:from>
    <xdr:to>
      <xdr:col>20</xdr:col>
      <xdr:colOff>219075</xdr:colOff>
      <xdr:row>17</xdr:row>
      <xdr:rowOff>133350</xdr:rowOff>
    </xdr:to>
    <xdr:sp macro="" textlink="">
      <xdr:nvSpPr>
        <xdr:cNvPr id="785" name="Freeform 784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SpPr/>
      </xdr:nvSpPr>
      <xdr:spPr>
        <a:xfrm>
          <a:off x="9372600" y="180975"/>
          <a:ext cx="3038475" cy="3000375"/>
        </a:xfrm>
        <a:custGeom>
          <a:avLst/>
          <a:gdLst>
            <a:gd name="connsiteX0" fmla="*/ 1076325 w 3038475"/>
            <a:gd name="connsiteY0" fmla="*/ 3000375 h 3000375"/>
            <a:gd name="connsiteX1" fmla="*/ 1704975 w 3038475"/>
            <a:gd name="connsiteY1" fmla="*/ 2981325 h 3000375"/>
            <a:gd name="connsiteX2" fmla="*/ 2495550 w 3038475"/>
            <a:gd name="connsiteY2" fmla="*/ 2943225 h 3000375"/>
            <a:gd name="connsiteX3" fmla="*/ 2981325 w 3038475"/>
            <a:gd name="connsiteY3" fmla="*/ 2647950 h 3000375"/>
            <a:gd name="connsiteX4" fmla="*/ 3038475 w 3038475"/>
            <a:gd name="connsiteY4" fmla="*/ 2190750 h 3000375"/>
            <a:gd name="connsiteX5" fmla="*/ 2962275 w 3038475"/>
            <a:gd name="connsiteY5" fmla="*/ 1362075 h 3000375"/>
            <a:gd name="connsiteX6" fmla="*/ 2638425 w 3038475"/>
            <a:gd name="connsiteY6" fmla="*/ 809625 h 3000375"/>
            <a:gd name="connsiteX7" fmla="*/ 2057400 w 3038475"/>
            <a:gd name="connsiteY7" fmla="*/ 438150 h 3000375"/>
            <a:gd name="connsiteX8" fmla="*/ 1209675 w 3038475"/>
            <a:gd name="connsiteY8" fmla="*/ 142875 h 3000375"/>
            <a:gd name="connsiteX9" fmla="*/ 504825 w 3038475"/>
            <a:gd name="connsiteY9" fmla="*/ 0 h 3000375"/>
            <a:gd name="connsiteX10" fmla="*/ 161925 w 3038475"/>
            <a:gd name="connsiteY10" fmla="*/ 104775 h 3000375"/>
            <a:gd name="connsiteX11" fmla="*/ 0 w 3038475"/>
            <a:gd name="connsiteY11" fmla="*/ 428625 h 3000375"/>
            <a:gd name="connsiteX12" fmla="*/ 104775 w 3038475"/>
            <a:gd name="connsiteY12" fmla="*/ 857250 h 3000375"/>
            <a:gd name="connsiteX13" fmla="*/ 209550 w 3038475"/>
            <a:gd name="connsiteY13" fmla="*/ 1219200 h 3000375"/>
            <a:gd name="connsiteX14" fmla="*/ 476250 w 3038475"/>
            <a:gd name="connsiteY14" fmla="*/ 1809750 h 3000375"/>
            <a:gd name="connsiteX15" fmla="*/ 714375 w 3038475"/>
            <a:gd name="connsiteY15" fmla="*/ 2295525 h 3000375"/>
            <a:gd name="connsiteX16" fmla="*/ 866775 w 3038475"/>
            <a:gd name="connsiteY16" fmla="*/ 2781300 h 3000375"/>
            <a:gd name="connsiteX17" fmla="*/ 1076325 w 3038475"/>
            <a:gd name="connsiteY17" fmla="*/ 3000375 h 3000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3038475" h="3000375">
              <a:moveTo>
                <a:pt x="1076325" y="3000375"/>
              </a:moveTo>
              <a:lnTo>
                <a:pt x="1704975" y="2981325"/>
              </a:lnTo>
              <a:lnTo>
                <a:pt x="2495550" y="2943225"/>
              </a:lnTo>
              <a:lnTo>
                <a:pt x="2981325" y="2647950"/>
              </a:lnTo>
              <a:lnTo>
                <a:pt x="3038475" y="2190750"/>
              </a:lnTo>
              <a:lnTo>
                <a:pt x="2962275" y="1362075"/>
              </a:lnTo>
              <a:lnTo>
                <a:pt x="2638425" y="809625"/>
              </a:lnTo>
              <a:lnTo>
                <a:pt x="2057400" y="438150"/>
              </a:lnTo>
              <a:lnTo>
                <a:pt x="1209675" y="142875"/>
              </a:lnTo>
              <a:lnTo>
                <a:pt x="504825" y="0"/>
              </a:lnTo>
              <a:lnTo>
                <a:pt x="161925" y="104775"/>
              </a:lnTo>
              <a:lnTo>
                <a:pt x="0" y="428625"/>
              </a:lnTo>
              <a:lnTo>
                <a:pt x="104775" y="857250"/>
              </a:lnTo>
              <a:lnTo>
                <a:pt x="209550" y="1219200"/>
              </a:lnTo>
              <a:lnTo>
                <a:pt x="476250" y="1809750"/>
              </a:lnTo>
              <a:lnTo>
                <a:pt x="714375" y="2295525"/>
              </a:lnTo>
              <a:lnTo>
                <a:pt x="866775" y="2781300"/>
              </a:lnTo>
              <a:lnTo>
                <a:pt x="1076325" y="3000375"/>
              </a:lnTo>
              <a:close/>
            </a:path>
          </a:pathLst>
        </a:custGeom>
        <a:noFill/>
        <a:ln>
          <a:solidFill>
            <a:schemeClr val="accent4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219074</xdr:colOff>
      <xdr:row>4</xdr:row>
      <xdr:rowOff>95250</xdr:rowOff>
    </xdr:from>
    <xdr:to>
      <xdr:col>12</xdr:col>
      <xdr:colOff>161924</xdr:colOff>
      <xdr:row>22</xdr:row>
      <xdr:rowOff>0</xdr:rowOff>
    </xdr:to>
    <xdr:sp macro="" textlink="">
      <xdr:nvSpPr>
        <xdr:cNvPr id="788" name="Freeform 787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SpPr/>
      </xdr:nvSpPr>
      <xdr:spPr>
        <a:xfrm>
          <a:off x="2628899" y="666750"/>
          <a:ext cx="4276725" cy="3400425"/>
        </a:xfrm>
        <a:custGeom>
          <a:avLst/>
          <a:gdLst>
            <a:gd name="connsiteX0" fmla="*/ 19050 w 3267075"/>
            <a:gd name="connsiteY0" fmla="*/ 1533525 h 3333750"/>
            <a:gd name="connsiteX1" fmla="*/ 0 w 3267075"/>
            <a:gd name="connsiteY1" fmla="*/ 866775 h 3333750"/>
            <a:gd name="connsiteX2" fmla="*/ 85725 w 3267075"/>
            <a:gd name="connsiteY2" fmla="*/ 400050 h 3333750"/>
            <a:gd name="connsiteX3" fmla="*/ 238125 w 3267075"/>
            <a:gd name="connsiteY3" fmla="*/ 161925 h 3333750"/>
            <a:gd name="connsiteX4" fmla="*/ 542925 w 3267075"/>
            <a:gd name="connsiteY4" fmla="*/ 19050 h 3333750"/>
            <a:gd name="connsiteX5" fmla="*/ 866775 w 3267075"/>
            <a:gd name="connsiteY5" fmla="*/ 0 h 3333750"/>
            <a:gd name="connsiteX6" fmla="*/ 1514475 w 3267075"/>
            <a:gd name="connsiteY6" fmla="*/ 123825 h 3333750"/>
            <a:gd name="connsiteX7" fmla="*/ 1952625 w 3267075"/>
            <a:gd name="connsiteY7" fmla="*/ 438150 h 3333750"/>
            <a:gd name="connsiteX8" fmla="*/ 2247900 w 3267075"/>
            <a:gd name="connsiteY8" fmla="*/ 876300 h 3333750"/>
            <a:gd name="connsiteX9" fmla="*/ 2562225 w 3267075"/>
            <a:gd name="connsiteY9" fmla="*/ 1200150 h 3333750"/>
            <a:gd name="connsiteX10" fmla="*/ 2790825 w 3267075"/>
            <a:gd name="connsiteY10" fmla="*/ 1552575 h 3333750"/>
            <a:gd name="connsiteX11" fmla="*/ 2933700 w 3267075"/>
            <a:gd name="connsiteY11" fmla="*/ 1990725 h 3333750"/>
            <a:gd name="connsiteX12" fmla="*/ 3114675 w 3267075"/>
            <a:gd name="connsiteY12" fmla="*/ 2457450 h 3333750"/>
            <a:gd name="connsiteX13" fmla="*/ 3267075 w 3267075"/>
            <a:gd name="connsiteY13" fmla="*/ 2838450 h 3333750"/>
            <a:gd name="connsiteX14" fmla="*/ 3219450 w 3267075"/>
            <a:gd name="connsiteY14" fmla="*/ 3095625 h 3333750"/>
            <a:gd name="connsiteX15" fmla="*/ 2990850 w 3267075"/>
            <a:gd name="connsiteY15" fmla="*/ 3286125 h 3333750"/>
            <a:gd name="connsiteX16" fmla="*/ 2647950 w 3267075"/>
            <a:gd name="connsiteY16" fmla="*/ 3333750 h 3333750"/>
            <a:gd name="connsiteX17" fmla="*/ 2266950 w 3267075"/>
            <a:gd name="connsiteY17" fmla="*/ 3295650 h 3333750"/>
            <a:gd name="connsiteX18" fmla="*/ 1600200 w 3267075"/>
            <a:gd name="connsiteY18" fmla="*/ 3028950 h 3333750"/>
            <a:gd name="connsiteX19" fmla="*/ 1009650 w 3267075"/>
            <a:gd name="connsiteY19" fmla="*/ 2847975 h 3333750"/>
            <a:gd name="connsiteX20" fmla="*/ 419100 w 3267075"/>
            <a:gd name="connsiteY20" fmla="*/ 2466975 h 3333750"/>
            <a:gd name="connsiteX21" fmla="*/ 95250 w 3267075"/>
            <a:gd name="connsiteY21" fmla="*/ 2085975 h 3333750"/>
            <a:gd name="connsiteX22" fmla="*/ 38100 w 3267075"/>
            <a:gd name="connsiteY22" fmla="*/ 1895475 h 3333750"/>
            <a:gd name="connsiteX23" fmla="*/ 19050 w 3267075"/>
            <a:gd name="connsiteY23" fmla="*/ 1533525 h 3333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3267075" h="3333750">
              <a:moveTo>
                <a:pt x="19050" y="1533525"/>
              </a:moveTo>
              <a:lnTo>
                <a:pt x="0" y="866775"/>
              </a:lnTo>
              <a:lnTo>
                <a:pt x="85725" y="400050"/>
              </a:lnTo>
              <a:lnTo>
                <a:pt x="238125" y="161925"/>
              </a:lnTo>
              <a:lnTo>
                <a:pt x="542925" y="19050"/>
              </a:lnTo>
              <a:lnTo>
                <a:pt x="866775" y="0"/>
              </a:lnTo>
              <a:lnTo>
                <a:pt x="1514475" y="123825"/>
              </a:lnTo>
              <a:lnTo>
                <a:pt x="1952625" y="438150"/>
              </a:lnTo>
              <a:lnTo>
                <a:pt x="2247900" y="876300"/>
              </a:lnTo>
              <a:lnTo>
                <a:pt x="2562225" y="1200150"/>
              </a:lnTo>
              <a:lnTo>
                <a:pt x="2790825" y="1552575"/>
              </a:lnTo>
              <a:lnTo>
                <a:pt x="2933700" y="1990725"/>
              </a:lnTo>
              <a:lnTo>
                <a:pt x="3114675" y="2457450"/>
              </a:lnTo>
              <a:lnTo>
                <a:pt x="3267075" y="2838450"/>
              </a:lnTo>
              <a:lnTo>
                <a:pt x="3219450" y="3095625"/>
              </a:lnTo>
              <a:lnTo>
                <a:pt x="2990850" y="3286125"/>
              </a:lnTo>
              <a:lnTo>
                <a:pt x="2647950" y="3333750"/>
              </a:lnTo>
              <a:lnTo>
                <a:pt x="2266950" y="3295650"/>
              </a:lnTo>
              <a:lnTo>
                <a:pt x="1600200" y="3028950"/>
              </a:lnTo>
              <a:lnTo>
                <a:pt x="1009650" y="2847975"/>
              </a:lnTo>
              <a:lnTo>
                <a:pt x="419100" y="2466975"/>
              </a:lnTo>
              <a:lnTo>
                <a:pt x="95250" y="2085975"/>
              </a:lnTo>
              <a:lnTo>
                <a:pt x="38100" y="1895475"/>
              </a:lnTo>
              <a:lnTo>
                <a:pt x="19050" y="1533525"/>
              </a:lnTo>
              <a:close/>
            </a:path>
          </a:pathLst>
        </a:custGeom>
        <a:noFill/>
        <a:ln>
          <a:solidFill>
            <a:schemeClr val="accent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9525</xdr:colOff>
      <xdr:row>2</xdr:row>
      <xdr:rowOff>38100</xdr:rowOff>
    </xdr:from>
    <xdr:to>
      <xdr:col>23</xdr:col>
      <xdr:colOff>142875</xdr:colOff>
      <xdr:row>9</xdr:row>
      <xdr:rowOff>133350</xdr:rowOff>
    </xdr:to>
    <xdr:sp macro="" textlink="">
      <xdr:nvSpPr>
        <xdr:cNvPr id="789" name="Freeform 788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SpPr/>
      </xdr:nvSpPr>
      <xdr:spPr>
        <a:xfrm>
          <a:off x="11630025" y="228600"/>
          <a:ext cx="1695450" cy="1428750"/>
        </a:xfrm>
        <a:custGeom>
          <a:avLst/>
          <a:gdLst>
            <a:gd name="connsiteX0" fmla="*/ 1038225 w 1638300"/>
            <a:gd name="connsiteY0" fmla="*/ 9525 h 1343025"/>
            <a:gd name="connsiteX1" fmla="*/ 1362075 w 1638300"/>
            <a:gd name="connsiteY1" fmla="*/ 238125 h 1343025"/>
            <a:gd name="connsiteX2" fmla="*/ 1552575 w 1638300"/>
            <a:gd name="connsiteY2" fmla="*/ 523875 h 1343025"/>
            <a:gd name="connsiteX3" fmla="*/ 1638300 w 1638300"/>
            <a:gd name="connsiteY3" fmla="*/ 762000 h 1343025"/>
            <a:gd name="connsiteX4" fmla="*/ 1504950 w 1638300"/>
            <a:gd name="connsiteY4" fmla="*/ 990600 h 1343025"/>
            <a:gd name="connsiteX5" fmla="*/ 1104900 w 1638300"/>
            <a:gd name="connsiteY5" fmla="*/ 1266825 h 1343025"/>
            <a:gd name="connsiteX6" fmla="*/ 514350 w 1638300"/>
            <a:gd name="connsiteY6" fmla="*/ 1343025 h 1343025"/>
            <a:gd name="connsiteX7" fmla="*/ 171450 w 1638300"/>
            <a:gd name="connsiteY7" fmla="*/ 1123950 h 1343025"/>
            <a:gd name="connsiteX8" fmla="*/ 0 w 1638300"/>
            <a:gd name="connsiteY8" fmla="*/ 800100 h 1343025"/>
            <a:gd name="connsiteX9" fmla="*/ 66675 w 1638300"/>
            <a:gd name="connsiteY9" fmla="*/ 342900 h 1343025"/>
            <a:gd name="connsiteX10" fmla="*/ 276225 w 1638300"/>
            <a:gd name="connsiteY10" fmla="*/ 85725 h 1343025"/>
            <a:gd name="connsiteX11" fmla="*/ 619125 w 1638300"/>
            <a:gd name="connsiteY11" fmla="*/ 0 h 1343025"/>
            <a:gd name="connsiteX12" fmla="*/ 1038225 w 1638300"/>
            <a:gd name="connsiteY12" fmla="*/ 9525 h 1343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638300" h="1343025">
              <a:moveTo>
                <a:pt x="1038225" y="9525"/>
              </a:moveTo>
              <a:lnTo>
                <a:pt x="1362075" y="238125"/>
              </a:lnTo>
              <a:lnTo>
                <a:pt x="1552575" y="523875"/>
              </a:lnTo>
              <a:lnTo>
                <a:pt x="1638300" y="762000"/>
              </a:lnTo>
              <a:lnTo>
                <a:pt x="1504950" y="990600"/>
              </a:lnTo>
              <a:lnTo>
                <a:pt x="1104900" y="1266825"/>
              </a:lnTo>
              <a:lnTo>
                <a:pt x="514350" y="1343025"/>
              </a:lnTo>
              <a:lnTo>
                <a:pt x="171450" y="1123950"/>
              </a:lnTo>
              <a:lnTo>
                <a:pt x="0" y="800100"/>
              </a:lnTo>
              <a:lnTo>
                <a:pt x="66675" y="342900"/>
              </a:lnTo>
              <a:lnTo>
                <a:pt x="276225" y="85725"/>
              </a:lnTo>
              <a:lnTo>
                <a:pt x="619125" y="0"/>
              </a:lnTo>
              <a:lnTo>
                <a:pt x="1038225" y="9525"/>
              </a:lnTo>
              <a:close/>
            </a:path>
          </a:pathLst>
        </a:custGeom>
        <a:noFill/>
        <a:ln>
          <a:solidFill>
            <a:schemeClr val="accent3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7</xdr:col>
      <xdr:colOff>409575</xdr:colOff>
      <xdr:row>38</xdr:row>
      <xdr:rowOff>161925</xdr:rowOff>
    </xdr:to>
    <xdr:sp macro="" textlink="">
      <xdr:nvSpPr>
        <xdr:cNvPr id="790" name="Freeform 789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SpPr/>
      </xdr:nvSpPr>
      <xdr:spPr>
        <a:xfrm>
          <a:off x="790575" y="2857500"/>
          <a:ext cx="3724275" cy="4419600"/>
        </a:xfrm>
        <a:custGeom>
          <a:avLst/>
          <a:gdLst>
            <a:gd name="connsiteX0" fmla="*/ 38100 w 3476625"/>
            <a:gd name="connsiteY0" fmla="*/ 1266825 h 4086225"/>
            <a:gd name="connsiteX1" fmla="*/ 104775 w 3476625"/>
            <a:gd name="connsiteY1" fmla="*/ 2257425 h 4086225"/>
            <a:gd name="connsiteX2" fmla="*/ 304800 w 3476625"/>
            <a:gd name="connsiteY2" fmla="*/ 3381375 h 4086225"/>
            <a:gd name="connsiteX3" fmla="*/ 628650 w 3476625"/>
            <a:gd name="connsiteY3" fmla="*/ 4010025 h 4086225"/>
            <a:gd name="connsiteX4" fmla="*/ 971550 w 3476625"/>
            <a:gd name="connsiteY4" fmla="*/ 4086225 h 4086225"/>
            <a:gd name="connsiteX5" fmla="*/ 1600200 w 3476625"/>
            <a:gd name="connsiteY5" fmla="*/ 4019550 h 4086225"/>
            <a:gd name="connsiteX6" fmla="*/ 2019300 w 3476625"/>
            <a:gd name="connsiteY6" fmla="*/ 3819525 h 4086225"/>
            <a:gd name="connsiteX7" fmla="*/ 2305050 w 3476625"/>
            <a:gd name="connsiteY7" fmla="*/ 3400425 h 4086225"/>
            <a:gd name="connsiteX8" fmla="*/ 2419350 w 3476625"/>
            <a:gd name="connsiteY8" fmla="*/ 3000375 h 4086225"/>
            <a:gd name="connsiteX9" fmla="*/ 2705100 w 3476625"/>
            <a:gd name="connsiteY9" fmla="*/ 2533650 h 4086225"/>
            <a:gd name="connsiteX10" fmla="*/ 3000375 w 3476625"/>
            <a:gd name="connsiteY10" fmla="*/ 2266950 h 4086225"/>
            <a:gd name="connsiteX11" fmla="*/ 3209925 w 3476625"/>
            <a:gd name="connsiteY11" fmla="*/ 1943100 h 4086225"/>
            <a:gd name="connsiteX12" fmla="*/ 3390900 w 3476625"/>
            <a:gd name="connsiteY12" fmla="*/ 1762125 h 4086225"/>
            <a:gd name="connsiteX13" fmla="*/ 3476625 w 3476625"/>
            <a:gd name="connsiteY13" fmla="*/ 1447800 h 4086225"/>
            <a:gd name="connsiteX14" fmla="*/ 3295650 w 3476625"/>
            <a:gd name="connsiteY14" fmla="*/ 1085850 h 4086225"/>
            <a:gd name="connsiteX15" fmla="*/ 2962275 w 3476625"/>
            <a:gd name="connsiteY15" fmla="*/ 885825 h 4086225"/>
            <a:gd name="connsiteX16" fmla="*/ 2381250 w 3476625"/>
            <a:gd name="connsiteY16" fmla="*/ 666750 h 4086225"/>
            <a:gd name="connsiteX17" fmla="*/ 2228850 w 3476625"/>
            <a:gd name="connsiteY17" fmla="*/ 409575 h 4086225"/>
            <a:gd name="connsiteX18" fmla="*/ 1838325 w 3476625"/>
            <a:gd name="connsiteY18" fmla="*/ 219075 h 4086225"/>
            <a:gd name="connsiteX19" fmla="*/ 1571625 w 3476625"/>
            <a:gd name="connsiteY19" fmla="*/ 161925 h 4086225"/>
            <a:gd name="connsiteX20" fmla="*/ 1162050 w 3476625"/>
            <a:gd name="connsiteY20" fmla="*/ 19050 h 4086225"/>
            <a:gd name="connsiteX21" fmla="*/ 742950 w 3476625"/>
            <a:gd name="connsiteY21" fmla="*/ 0 h 4086225"/>
            <a:gd name="connsiteX22" fmla="*/ 466725 w 3476625"/>
            <a:gd name="connsiteY22" fmla="*/ 76200 h 4086225"/>
            <a:gd name="connsiteX23" fmla="*/ 190500 w 3476625"/>
            <a:gd name="connsiteY23" fmla="*/ 285750 h 4086225"/>
            <a:gd name="connsiteX24" fmla="*/ 9525 w 3476625"/>
            <a:gd name="connsiteY24" fmla="*/ 638175 h 4086225"/>
            <a:gd name="connsiteX25" fmla="*/ 0 w 3476625"/>
            <a:gd name="connsiteY25" fmla="*/ 942975 h 4086225"/>
            <a:gd name="connsiteX26" fmla="*/ 47625 w 3476625"/>
            <a:gd name="connsiteY26" fmla="*/ 1323975 h 40862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</a:cxnLst>
          <a:rect l="l" t="t" r="r" b="b"/>
          <a:pathLst>
            <a:path w="3476625" h="4086225">
              <a:moveTo>
                <a:pt x="38100" y="1266825"/>
              </a:moveTo>
              <a:lnTo>
                <a:pt x="104775" y="2257425"/>
              </a:lnTo>
              <a:lnTo>
                <a:pt x="304800" y="3381375"/>
              </a:lnTo>
              <a:lnTo>
                <a:pt x="628650" y="4010025"/>
              </a:lnTo>
              <a:lnTo>
                <a:pt x="971550" y="4086225"/>
              </a:lnTo>
              <a:lnTo>
                <a:pt x="1600200" y="4019550"/>
              </a:lnTo>
              <a:lnTo>
                <a:pt x="2019300" y="3819525"/>
              </a:lnTo>
              <a:lnTo>
                <a:pt x="2305050" y="3400425"/>
              </a:lnTo>
              <a:lnTo>
                <a:pt x="2419350" y="3000375"/>
              </a:lnTo>
              <a:lnTo>
                <a:pt x="2705100" y="2533650"/>
              </a:lnTo>
              <a:lnTo>
                <a:pt x="3000375" y="2266950"/>
              </a:lnTo>
              <a:lnTo>
                <a:pt x="3209925" y="1943100"/>
              </a:lnTo>
              <a:lnTo>
                <a:pt x="3390900" y="1762125"/>
              </a:lnTo>
              <a:lnTo>
                <a:pt x="3476625" y="1447800"/>
              </a:lnTo>
              <a:lnTo>
                <a:pt x="3295650" y="1085850"/>
              </a:lnTo>
              <a:lnTo>
                <a:pt x="2962275" y="885825"/>
              </a:lnTo>
              <a:lnTo>
                <a:pt x="2381250" y="666750"/>
              </a:lnTo>
              <a:lnTo>
                <a:pt x="2228850" y="409575"/>
              </a:lnTo>
              <a:lnTo>
                <a:pt x="1838325" y="219075"/>
              </a:lnTo>
              <a:lnTo>
                <a:pt x="1571625" y="161925"/>
              </a:lnTo>
              <a:lnTo>
                <a:pt x="1162050" y="19050"/>
              </a:lnTo>
              <a:lnTo>
                <a:pt x="742950" y="0"/>
              </a:lnTo>
              <a:lnTo>
                <a:pt x="466725" y="76200"/>
              </a:lnTo>
              <a:lnTo>
                <a:pt x="190500" y="285750"/>
              </a:lnTo>
              <a:lnTo>
                <a:pt x="9525" y="638175"/>
              </a:lnTo>
              <a:lnTo>
                <a:pt x="0" y="942975"/>
              </a:lnTo>
              <a:lnTo>
                <a:pt x="47625" y="1323975"/>
              </a:lnTo>
            </a:path>
          </a:pathLst>
        </a:cu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447675</xdr:colOff>
      <xdr:row>25</xdr:row>
      <xdr:rowOff>128507</xdr:rowOff>
    </xdr:from>
    <xdr:to>
      <xdr:col>5</xdr:col>
      <xdr:colOff>600075</xdr:colOff>
      <xdr:row>25</xdr:row>
      <xdr:rowOff>139247</xdr:rowOff>
    </xdr:to>
    <xdr:cxnSp macro="">
      <xdr:nvCxnSpPr>
        <xdr:cNvPr id="393" name="Straight Arrow Connector 392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CxnSpPr>
          <a:stCxn id="314" idx="3"/>
          <a:endCxn id="223" idx="2"/>
        </xdr:cNvCxnSpPr>
      </xdr:nvCxnSpPr>
      <xdr:spPr>
        <a:xfrm flipV="1">
          <a:off x="2857500" y="4700507"/>
          <a:ext cx="152400" cy="107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501160</xdr:colOff>
      <xdr:row>28</xdr:row>
      <xdr:rowOff>105265</xdr:rowOff>
    </xdr:from>
    <xdr:to>
      <xdr:col>8</xdr:col>
      <xdr:colOff>238125</xdr:colOff>
      <xdr:row>28</xdr:row>
      <xdr:rowOff>118459</xdr:rowOff>
    </xdr:to>
    <xdr:cxnSp macro="">
      <xdr:nvCxnSpPr>
        <xdr:cNvPr id="398" name="Straight Arrow Connector 397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CxnSpPr>
          <a:stCxn id="303" idx="0"/>
          <a:endCxn id="252" idx="2"/>
        </xdr:cNvCxnSpPr>
      </xdr:nvCxnSpPr>
      <xdr:spPr>
        <a:xfrm flipV="1">
          <a:off x="4606435" y="5315440"/>
          <a:ext cx="346565" cy="1319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238124</xdr:colOff>
      <xdr:row>16</xdr:row>
      <xdr:rowOff>60852</xdr:rowOff>
    </xdr:from>
    <xdr:to>
      <xdr:col>8</xdr:col>
      <xdr:colOff>352425</xdr:colOff>
      <xdr:row>16</xdr:row>
      <xdr:rowOff>72572</xdr:rowOff>
    </xdr:to>
    <xdr:cxnSp macro="">
      <xdr:nvCxnSpPr>
        <xdr:cNvPr id="402" name="Straight Arrow Connector 401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CxnSpPr>
          <a:stCxn id="24" idx="3"/>
          <a:endCxn id="653" idx="2"/>
        </xdr:cNvCxnSpPr>
      </xdr:nvCxnSpPr>
      <xdr:spPr>
        <a:xfrm flipV="1">
          <a:off x="4476749" y="2918352"/>
          <a:ext cx="114301" cy="1172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251567</xdr:colOff>
      <xdr:row>16</xdr:row>
      <xdr:rowOff>156102</xdr:rowOff>
    </xdr:from>
    <xdr:to>
      <xdr:col>13</xdr:col>
      <xdr:colOff>352425</xdr:colOff>
      <xdr:row>16</xdr:row>
      <xdr:rowOff>179811</xdr:rowOff>
    </xdr:to>
    <xdr:cxnSp macro="">
      <xdr:nvCxnSpPr>
        <xdr:cNvPr id="406" name="Straight Arrow Connector 405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CxnSpPr>
          <a:stCxn id="735" idx="3"/>
          <a:endCxn id="720" idx="2"/>
        </xdr:cNvCxnSpPr>
      </xdr:nvCxnSpPr>
      <xdr:spPr>
        <a:xfrm flipV="1">
          <a:off x="7538192" y="3013602"/>
          <a:ext cx="100858" cy="23709"/>
        </a:xfrm>
        <a:prstGeom prst="straightConnector1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409575</xdr:colOff>
      <xdr:row>12</xdr:row>
      <xdr:rowOff>28575</xdr:rowOff>
    </xdr:from>
    <xdr:to>
      <xdr:col>15</xdr:col>
      <xdr:colOff>415182</xdr:colOff>
      <xdr:row>13</xdr:row>
      <xdr:rowOff>85725</xdr:rowOff>
    </xdr:to>
    <xdr:cxnSp macro="">
      <xdr:nvCxnSpPr>
        <xdr:cNvPr id="414" name="Straight Arrow Connector 413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CxnSpPr>
          <a:stCxn id="704" idx="0"/>
        </xdr:cNvCxnSpPr>
      </xdr:nvCxnSpPr>
      <xdr:spPr>
        <a:xfrm flipH="1" flipV="1">
          <a:off x="8915400" y="2124075"/>
          <a:ext cx="5607" cy="247650"/>
        </a:xfrm>
        <a:prstGeom prst="straightConnector1">
          <a:avLst/>
        </a:prstGeom>
        <a:ln>
          <a:solidFill>
            <a:schemeClr val="accent4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11</xdr:row>
      <xdr:rowOff>115525</xdr:rowOff>
    </xdr:from>
    <xdr:to>
      <xdr:col>10</xdr:col>
      <xdr:colOff>415182</xdr:colOff>
      <xdr:row>12</xdr:row>
      <xdr:rowOff>180975</xdr:rowOff>
    </xdr:to>
    <xdr:cxnSp macro="">
      <xdr:nvCxnSpPr>
        <xdr:cNvPr id="649" name="Elbow Connector 648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CxnSpPr>
          <a:stCxn id="628" idx="0"/>
          <a:endCxn id="424" idx="1"/>
        </xdr:cNvCxnSpPr>
      </xdr:nvCxnSpPr>
      <xdr:spPr>
        <a:xfrm rot="16200000" flipV="1">
          <a:off x="5704129" y="2107596"/>
          <a:ext cx="255950" cy="81807"/>
        </a:xfrm>
        <a:prstGeom prst="bentConnector2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4</xdr:row>
      <xdr:rowOff>104775</xdr:rowOff>
    </xdr:from>
    <xdr:to>
      <xdr:col>13</xdr:col>
      <xdr:colOff>519881</xdr:colOff>
      <xdr:row>5</xdr:row>
      <xdr:rowOff>131404</xdr:rowOff>
    </xdr:to>
    <xdr:sp macro="" textlink="">
      <xdr:nvSpPr>
        <xdr:cNvPr id="658" name="Oval 657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/>
      </xdr:nvSpPr>
      <xdr:spPr>
        <a:xfrm>
          <a:off x="7591425" y="6762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266700</xdr:colOff>
      <xdr:row>4</xdr:row>
      <xdr:rowOff>95250</xdr:rowOff>
    </xdr:from>
    <xdr:ext cx="301621" cy="23320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7800975" y="66675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26</a:t>
          </a:r>
        </a:p>
      </xdr:txBody>
    </xdr:sp>
    <xdr:clientData/>
  </xdr:oneCellAnchor>
  <xdr:twoCellAnchor>
    <xdr:from>
      <xdr:col>19</xdr:col>
      <xdr:colOff>438150</xdr:colOff>
      <xdr:row>4</xdr:row>
      <xdr:rowOff>95250</xdr:rowOff>
    </xdr:from>
    <xdr:to>
      <xdr:col>20</xdr:col>
      <xdr:colOff>43631</xdr:colOff>
      <xdr:row>5</xdr:row>
      <xdr:rowOff>121879</xdr:rowOff>
    </xdr:to>
    <xdr:sp macro="" textlink="">
      <xdr:nvSpPr>
        <xdr:cNvPr id="662" name="Oval 661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/>
      </xdr:nvSpPr>
      <xdr:spPr>
        <a:xfrm>
          <a:off x="11382375" y="6667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oneCellAnchor>
    <xdr:from>
      <xdr:col>19</xdr:col>
      <xdr:colOff>409575</xdr:colOff>
      <xdr:row>4</xdr:row>
      <xdr:rowOff>85725</xdr:rowOff>
    </xdr:from>
    <xdr:ext cx="301621" cy="233205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 txBox="1"/>
      </xdr:nvSpPr>
      <xdr:spPr>
        <a:xfrm>
          <a:off x="11601450" y="657225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27</a:t>
          </a:r>
        </a:p>
      </xdr:txBody>
    </xdr:sp>
    <xdr:clientData/>
  </xdr:oneCellAnchor>
  <xdr:twoCellAnchor>
    <xdr:from>
      <xdr:col>14</xdr:col>
      <xdr:colOff>438150</xdr:colOff>
      <xdr:row>1</xdr:row>
      <xdr:rowOff>133350</xdr:rowOff>
    </xdr:from>
    <xdr:to>
      <xdr:col>15</xdr:col>
      <xdr:colOff>43631</xdr:colOff>
      <xdr:row>2</xdr:row>
      <xdr:rowOff>159979</xdr:rowOff>
    </xdr:to>
    <xdr:sp macro="" textlink="">
      <xdr:nvSpPr>
        <xdr:cNvPr id="665" name="Oval 664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/>
      </xdr:nvSpPr>
      <xdr:spPr>
        <a:xfrm>
          <a:off x="8334375" y="1333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400050</xdr:colOff>
      <xdr:row>1</xdr:row>
      <xdr:rowOff>133350</xdr:rowOff>
    </xdr:from>
    <xdr:ext cx="301621" cy="233205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 txBox="1"/>
      </xdr:nvSpPr>
      <xdr:spPr>
        <a:xfrm>
          <a:off x="8543925" y="13335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28</a:t>
          </a:r>
        </a:p>
      </xdr:txBody>
    </xdr:sp>
    <xdr:clientData/>
  </xdr:oneCellAnchor>
  <xdr:twoCellAnchor>
    <xdr:from>
      <xdr:col>10</xdr:col>
      <xdr:colOff>333375</xdr:colOff>
      <xdr:row>26</xdr:row>
      <xdr:rowOff>114300</xdr:rowOff>
    </xdr:from>
    <xdr:to>
      <xdr:col>10</xdr:col>
      <xdr:colOff>548456</xdr:colOff>
      <xdr:row>27</xdr:row>
      <xdr:rowOff>140929</xdr:rowOff>
    </xdr:to>
    <xdr:sp macro="" textlink="">
      <xdr:nvSpPr>
        <xdr:cNvPr id="668" name="Oval 667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/>
      </xdr:nvSpPr>
      <xdr:spPr>
        <a:xfrm>
          <a:off x="5791200" y="48768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26</xdr:row>
      <xdr:rowOff>0</xdr:rowOff>
    </xdr:from>
    <xdr:to>
      <xdr:col>14</xdr:col>
      <xdr:colOff>215081</xdr:colOff>
      <xdr:row>27</xdr:row>
      <xdr:rowOff>26629</xdr:rowOff>
    </xdr:to>
    <xdr:sp macro="" textlink="">
      <xdr:nvSpPr>
        <xdr:cNvPr id="669" name="Oval 668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/>
      </xdr:nvSpPr>
      <xdr:spPr>
        <a:xfrm>
          <a:off x="8143875" y="48291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447675</xdr:colOff>
      <xdr:row>35</xdr:row>
      <xdr:rowOff>161925</xdr:rowOff>
    </xdr:from>
    <xdr:to>
      <xdr:col>9</xdr:col>
      <xdr:colOff>53156</xdr:colOff>
      <xdr:row>36</xdr:row>
      <xdr:rowOff>188554</xdr:rowOff>
    </xdr:to>
    <xdr:sp macro="" textlink="">
      <xdr:nvSpPr>
        <xdr:cNvPr id="671" name="Oval 670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/>
      </xdr:nvSpPr>
      <xdr:spPr>
        <a:xfrm>
          <a:off x="4686300" y="663892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285750</xdr:colOff>
      <xdr:row>26</xdr:row>
      <xdr:rowOff>104775</xdr:rowOff>
    </xdr:from>
    <xdr:ext cx="301621" cy="233205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 txBox="1"/>
      </xdr:nvSpPr>
      <xdr:spPr>
        <a:xfrm>
          <a:off x="5876925" y="493395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9525</xdr:colOff>
      <xdr:row>25</xdr:row>
      <xdr:rowOff>180975</xdr:rowOff>
    </xdr:from>
    <xdr:ext cx="301621" cy="233205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 txBox="1"/>
      </xdr:nvSpPr>
      <xdr:spPr>
        <a:xfrm>
          <a:off x="8629650" y="481965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8</xdr:col>
      <xdr:colOff>390525</xdr:colOff>
      <xdr:row>35</xdr:row>
      <xdr:rowOff>161925</xdr:rowOff>
    </xdr:from>
    <xdr:ext cx="301621" cy="233205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 txBox="1"/>
      </xdr:nvSpPr>
      <xdr:spPr>
        <a:xfrm>
          <a:off x="4629150" y="670560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20</a:t>
          </a:r>
        </a:p>
      </xdr:txBody>
    </xdr:sp>
    <xdr:clientData/>
  </xdr:oneCellAnchor>
  <xdr:twoCellAnchor>
    <xdr:from>
      <xdr:col>21</xdr:col>
      <xdr:colOff>0</xdr:colOff>
      <xdr:row>5</xdr:row>
      <xdr:rowOff>0</xdr:rowOff>
    </xdr:from>
    <xdr:to>
      <xdr:col>21</xdr:col>
      <xdr:colOff>247650</xdr:colOff>
      <xdr:row>6</xdr:row>
      <xdr:rowOff>63500</xdr:rowOff>
    </xdr:to>
    <xdr:grpSp>
      <xdr:nvGrpSpPr>
        <xdr:cNvPr id="675" name="Group 674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GrpSpPr/>
      </xdr:nvGrpSpPr>
      <xdr:grpSpPr>
        <a:xfrm>
          <a:off x="13487400" y="952500"/>
          <a:ext cx="247650" cy="254000"/>
          <a:chOff x="7924800" y="3089275"/>
          <a:chExt cx="431800" cy="473075"/>
        </a:xfrm>
      </xdr:grpSpPr>
      <xdr:sp macro="" textlink="">
        <xdr:nvSpPr>
          <xdr:cNvPr id="676" name="Rectangle 675">
            <a:extLst>
              <a:ext uri="{FF2B5EF4-FFF2-40B4-BE49-F238E27FC236}">
                <a16:creationId xmlns:a16="http://schemas.microsoft.com/office/drawing/2014/main" id="{00000000-0008-0000-0500-0000A402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725" name="Rectangle 724">
            <a:extLst>
              <a:ext uri="{FF2B5EF4-FFF2-40B4-BE49-F238E27FC236}">
                <a16:creationId xmlns:a16="http://schemas.microsoft.com/office/drawing/2014/main" id="{00000000-0008-0000-0500-0000D502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726" name="Line 110">
            <a:extLst>
              <a:ext uri="{FF2B5EF4-FFF2-40B4-BE49-F238E27FC236}">
                <a16:creationId xmlns:a16="http://schemas.microsoft.com/office/drawing/2014/main" id="{00000000-0008-0000-0500-0000D602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7" name="Line 111">
            <a:extLst>
              <a:ext uri="{FF2B5EF4-FFF2-40B4-BE49-F238E27FC236}">
                <a16:creationId xmlns:a16="http://schemas.microsoft.com/office/drawing/2014/main" id="{00000000-0008-0000-0500-0000E102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8" name="Line 112">
            <a:extLst>
              <a:ext uri="{FF2B5EF4-FFF2-40B4-BE49-F238E27FC236}">
                <a16:creationId xmlns:a16="http://schemas.microsoft.com/office/drawing/2014/main" id="{00000000-0008-0000-0500-0000E202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752" name="Straight Connector 751">
            <a:extLst>
              <a:ext uri="{FF2B5EF4-FFF2-40B4-BE49-F238E27FC236}">
                <a16:creationId xmlns:a16="http://schemas.microsoft.com/office/drawing/2014/main" id="{00000000-0008-0000-0500-0000F0020000}"/>
              </a:ext>
            </a:extLst>
          </xdr:cNvPr>
          <xdr:cNvCxnSpPr>
            <a:stCxn id="725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54" name="Straight Connector 753">
            <a:extLst>
              <a:ext uri="{FF2B5EF4-FFF2-40B4-BE49-F238E27FC236}">
                <a16:creationId xmlns:a16="http://schemas.microsoft.com/office/drawing/2014/main" id="{00000000-0008-0000-0500-0000F202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21</xdr:col>
      <xdr:colOff>123825</xdr:colOff>
      <xdr:row>4</xdr:row>
      <xdr:rowOff>0</xdr:rowOff>
    </xdr:from>
    <xdr:to>
      <xdr:col>22</xdr:col>
      <xdr:colOff>428625</xdr:colOff>
      <xdr:row>5</xdr:row>
      <xdr:rowOff>0</xdr:rowOff>
    </xdr:to>
    <xdr:cxnSp macro="">
      <xdr:nvCxnSpPr>
        <xdr:cNvPr id="755" name="Elbow Connector 754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CxnSpPr>
          <a:stCxn id="725" idx="0"/>
        </xdr:cNvCxnSpPr>
      </xdr:nvCxnSpPr>
      <xdr:spPr>
        <a:xfrm rot="5400000" flipH="1" flipV="1">
          <a:off x="12449175" y="209550"/>
          <a:ext cx="190500" cy="914400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495300</xdr:colOff>
      <xdr:row>2</xdr:row>
      <xdr:rowOff>123825</xdr:rowOff>
    </xdr:from>
    <xdr:to>
      <xdr:col>22</xdr:col>
      <xdr:colOff>100781</xdr:colOff>
      <xdr:row>3</xdr:row>
      <xdr:rowOff>150454</xdr:rowOff>
    </xdr:to>
    <xdr:sp macro="" textlink="">
      <xdr:nvSpPr>
        <xdr:cNvPr id="756" name="Oval 755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SpPr/>
      </xdr:nvSpPr>
      <xdr:spPr>
        <a:xfrm>
          <a:off x="12573000" y="31432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US" sz="1100"/>
        </a:p>
      </xdr:txBody>
    </xdr:sp>
    <xdr:clientData/>
  </xdr:twoCellAnchor>
  <xdr:oneCellAnchor>
    <xdr:from>
      <xdr:col>21</xdr:col>
      <xdr:colOff>466725</xdr:colOff>
      <xdr:row>2</xdr:row>
      <xdr:rowOff>133350</xdr:rowOff>
    </xdr:from>
    <xdr:ext cx="301621" cy="233205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SpPr txBox="1"/>
      </xdr:nvSpPr>
      <xdr:spPr>
        <a:xfrm>
          <a:off x="12611100" y="323850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solidFill>
                <a:schemeClr val="bg1"/>
              </a:solidFill>
            </a:rPr>
            <a:t>29</a:t>
          </a:r>
        </a:p>
      </xdr:txBody>
    </xdr:sp>
    <xdr:clientData/>
  </xdr:oneCellAnchor>
  <xdr:twoCellAnchor>
    <xdr:from>
      <xdr:col>5</xdr:col>
      <xdr:colOff>219076</xdr:colOff>
      <xdr:row>22</xdr:row>
      <xdr:rowOff>9525</xdr:rowOff>
    </xdr:from>
    <xdr:to>
      <xdr:col>14</xdr:col>
      <xdr:colOff>586854</xdr:colOff>
      <xdr:row>40</xdr:row>
      <xdr:rowOff>85725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105151" y="4076700"/>
          <a:ext cx="6101828" cy="3505200"/>
        </a:xfrm>
        <a:custGeom>
          <a:avLst/>
          <a:gdLst>
            <a:gd name="connsiteX0" fmla="*/ 19050 w 5930378"/>
            <a:gd name="connsiteY0" fmla="*/ 3038475 h 3505200"/>
            <a:gd name="connsiteX1" fmla="*/ 47625 w 5930378"/>
            <a:gd name="connsiteY1" fmla="*/ 2990850 h 3505200"/>
            <a:gd name="connsiteX2" fmla="*/ 66675 w 5930378"/>
            <a:gd name="connsiteY2" fmla="*/ 2933700 h 3505200"/>
            <a:gd name="connsiteX3" fmla="*/ 142875 w 5930378"/>
            <a:gd name="connsiteY3" fmla="*/ 2819400 h 3505200"/>
            <a:gd name="connsiteX4" fmla="*/ 161925 w 5930378"/>
            <a:gd name="connsiteY4" fmla="*/ 2790825 h 3505200"/>
            <a:gd name="connsiteX5" fmla="*/ 180975 w 5930378"/>
            <a:gd name="connsiteY5" fmla="*/ 2762250 h 3505200"/>
            <a:gd name="connsiteX6" fmla="*/ 228600 w 5930378"/>
            <a:gd name="connsiteY6" fmla="*/ 2619375 h 3505200"/>
            <a:gd name="connsiteX7" fmla="*/ 247650 w 5930378"/>
            <a:gd name="connsiteY7" fmla="*/ 2590800 h 3505200"/>
            <a:gd name="connsiteX8" fmla="*/ 257175 w 5930378"/>
            <a:gd name="connsiteY8" fmla="*/ 2562225 h 3505200"/>
            <a:gd name="connsiteX9" fmla="*/ 266700 w 5930378"/>
            <a:gd name="connsiteY9" fmla="*/ 2514600 h 3505200"/>
            <a:gd name="connsiteX10" fmla="*/ 276225 w 5930378"/>
            <a:gd name="connsiteY10" fmla="*/ 2457450 h 3505200"/>
            <a:gd name="connsiteX11" fmla="*/ 314325 w 5930378"/>
            <a:gd name="connsiteY11" fmla="*/ 2371725 h 3505200"/>
            <a:gd name="connsiteX12" fmla="*/ 323850 w 5930378"/>
            <a:gd name="connsiteY12" fmla="*/ 2343150 h 3505200"/>
            <a:gd name="connsiteX13" fmla="*/ 342900 w 5930378"/>
            <a:gd name="connsiteY13" fmla="*/ 2314575 h 3505200"/>
            <a:gd name="connsiteX14" fmla="*/ 352425 w 5930378"/>
            <a:gd name="connsiteY14" fmla="*/ 2286000 h 3505200"/>
            <a:gd name="connsiteX15" fmla="*/ 381000 w 5930378"/>
            <a:gd name="connsiteY15" fmla="*/ 2266950 h 3505200"/>
            <a:gd name="connsiteX16" fmla="*/ 390525 w 5930378"/>
            <a:gd name="connsiteY16" fmla="*/ 2238375 h 3505200"/>
            <a:gd name="connsiteX17" fmla="*/ 447675 w 5930378"/>
            <a:gd name="connsiteY17" fmla="*/ 2152650 h 3505200"/>
            <a:gd name="connsiteX18" fmla="*/ 542925 w 5930378"/>
            <a:gd name="connsiteY18" fmla="*/ 2009775 h 3505200"/>
            <a:gd name="connsiteX19" fmla="*/ 571500 w 5930378"/>
            <a:gd name="connsiteY19" fmla="*/ 1971675 h 3505200"/>
            <a:gd name="connsiteX20" fmla="*/ 619125 w 5930378"/>
            <a:gd name="connsiteY20" fmla="*/ 1885950 h 3505200"/>
            <a:gd name="connsiteX21" fmla="*/ 657225 w 5930378"/>
            <a:gd name="connsiteY21" fmla="*/ 1828800 h 3505200"/>
            <a:gd name="connsiteX22" fmla="*/ 685800 w 5930378"/>
            <a:gd name="connsiteY22" fmla="*/ 1800225 h 3505200"/>
            <a:gd name="connsiteX23" fmla="*/ 695325 w 5930378"/>
            <a:gd name="connsiteY23" fmla="*/ 1771650 h 3505200"/>
            <a:gd name="connsiteX24" fmla="*/ 742950 w 5930378"/>
            <a:gd name="connsiteY24" fmla="*/ 1714500 h 3505200"/>
            <a:gd name="connsiteX25" fmla="*/ 752475 w 5930378"/>
            <a:gd name="connsiteY25" fmla="*/ 1685925 h 3505200"/>
            <a:gd name="connsiteX26" fmla="*/ 790575 w 5930378"/>
            <a:gd name="connsiteY26" fmla="*/ 1628775 h 3505200"/>
            <a:gd name="connsiteX27" fmla="*/ 828675 w 5930378"/>
            <a:gd name="connsiteY27" fmla="*/ 1571625 h 3505200"/>
            <a:gd name="connsiteX28" fmla="*/ 847725 w 5930378"/>
            <a:gd name="connsiteY28" fmla="*/ 1543050 h 3505200"/>
            <a:gd name="connsiteX29" fmla="*/ 857250 w 5930378"/>
            <a:gd name="connsiteY29" fmla="*/ 1514475 h 3505200"/>
            <a:gd name="connsiteX30" fmla="*/ 895350 w 5930378"/>
            <a:gd name="connsiteY30" fmla="*/ 1457325 h 3505200"/>
            <a:gd name="connsiteX31" fmla="*/ 914400 w 5930378"/>
            <a:gd name="connsiteY31" fmla="*/ 1428750 h 3505200"/>
            <a:gd name="connsiteX32" fmla="*/ 942975 w 5930378"/>
            <a:gd name="connsiteY32" fmla="*/ 1400175 h 3505200"/>
            <a:gd name="connsiteX33" fmla="*/ 971550 w 5930378"/>
            <a:gd name="connsiteY33" fmla="*/ 1343025 h 3505200"/>
            <a:gd name="connsiteX34" fmla="*/ 1028700 w 5930378"/>
            <a:gd name="connsiteY34" fmla="*/ 1257300 h 3505200"/>
            <a:gd name="connsiteX35" fmla="*/ 1057275 w 5930378"/>
            <a:gd name="connsiteY35" fmla="*/ 1228725 h 3505200"/>
            <a:gd name="connsiteX36" fmla="*/ 1066800 w 5930378"/>
            <a:gd name="connsiteY36" fmla="*/ 1200150 h 3505200"/>
            <a:gd name="connsiteX37" fmla="*/ 1104900 w 5930378"/>
            <a:gd name="connsiteY37" fmla="*/ 1143000 h 3505200"/>
            <a:gd name="connsiteX38" fmla="*/ 1143000 w 5930378"/>
            <a:gd name="connsiteY38" fmla="*/ 1085850 h 3505200"/>
            <a:gd name="connsiteX39" fmla="*/ 1152525 w 5930378"/>
            <a:gd name="connsiteY39" fmla="*/ 1057275 h 3505200"/>
            <a:gd name="connsiteX40" fmla="*/ 1190625 w 5930378"/>
            <a:gd name="connsiteY40" fmla="*/ 990600 h 3505200"/>
            <a:gd name="connsiteX41" fmla="*/ 1200150 w 5930378"/>
            <a:gd name="connsiteY41" fmla="*/ 962025 h 3505200"/>
            <a:gd name="connsiteX42" fmla="*/ 1228725 w 5930378"/>
            <a:gd name="connsiteY42" fmla="*/ 933450 h 3505200"/>
            <a:gd name="connsiteX43" fmla="*/ 1257300 w 5930378"/>
            <a:gd name="connsiteY43" fmla="*/ 876300 h 3505200"/>
            <a:gd name="connsiteX44" fmla="*/ 1295400 w 5930378"/>
            <a:gd name="connsiteY44" fmla="*/ 819150 h 3505200"/>
            <a:gd name="connsiteX45" fmla="*/ 1314450 w 5930378"/>
            <a:gd name="connsiteY45" fmla="*/ 790575 h 3505200"/>
            <a:gd name="connsiteX46" fmla="*/ 1323975 w 5930378"/>
            <a:gd name="connsiteY46" fmla="*/ 762000 h 3505200"/>
            <a:gd name="connsiteX47" fmla="*/ 1381125 w 5930378"/>
            <a:gd name="connsiteY47" fmla="*/ 676275 h 3505200"/>
            <a:gd name="connsiteX48" fmla="*/ 1390650 w 5930378"/>
            <a:gd name="connsiteY48" fmla="*/ 647700 h 3505200"/>
            <a:gd name="connsiteX49" fmla="*/ 1409700 w 5930378"/>
            <a:gd name="connsiteY49" fmla="*/ 619125 h 3505200"/>
            <a:gd name="connsiteX50" fmla="*/ 1419225 w 5930378"/>
            <a:gd name="connsiteY50" fmla="*/ 590550 h 3505200"/>
            <a:gd name="connsiteX51" fmla="*/ 1438275 w 5930378"/>
            <a:gd name="connsiteY51" fmla="*/ 561975 h 3505200"/>
            <a:gd name="connsiteX52" fmla="*/ 1447800 w 5930378"/>
            <a:gd name="connsiteY52" fmla="*/ 533400 h 3505200"/>
            <a:gd name="connsiteX53" fmla="*/ 1476375 w 5930378"/>
            <a:gd name="connsiteY53" fmla="*/ 504825 h 3505200"/>
            <a:gd name="connsiteX54" fmla="*/ 1485900 w 5930378"/>
            <a:gd name="connsiteY54" fmla="*/ 476250 h 3505200"/>
            <a:gd name="connsiteX55" fmla="*/ 1524000 w 5930378"/>
            <a:gd name="connsiteY55" fmla="*/ 419100 h 3505200"/>
            <a:gd name="connsiteX56" fmla="*/ 1543050 w 5930378"/>
            <a:gd name="connsiteY56" fmla="*/ 390525 h 3505200"/>
            <a:gd name="connsiteX57" fmla="*/ 1562100 w 5930378"/>
            <a:gd name="connsiteY57" fmla="*/ 361950 h 3505200"/>
            <a:gd name="connsiteX58" fmla="*/ 1581150 w 5930378"/>
            <a:gd name="connsiteY58" fmla="*/ 333375 h 3505200"/>
            <a:gd name="connsiteX59" fmla="*/ 1609725 w 5930378"/>
            <a:gd name="connsiteY59" fmla="*/ 314325 h 3505200"/>
            <a:gd name="connsiteX60" fmla="*/ 1638300 w 5930378"/>
            <a:gd name="connsiteY60" fmla="*/ 285750 h 3505200"/>
            <a:gd name="connsiteX61" fmla="*/ 1657350 w 5930378"/>
            <a:gd name="connsiteY61" fmla="*/ 257175 h 3505200"/>
            <a:gd name="connsiteX62" fmla="*/ 1685925 w 5930378"/>
            <a:gd name="connsiteY62" fmla="*/ 247650 h 3505200"/>
            <a:gd name="connsiteX63" fmla="*/ 1771650 w 5930378"/>
            <a:gd name="connsiteY63" fmla="*/ 190500 h 3505200"/>
            <a:gd name="connsiteX64" fmla="*/ 1800225 w 5930378"/>
            <a:gd name="connsiteY64" fmla="*/ 171450 h 3505200"/>
            <a:gd name="connsiteX65" fmla="*/ 1857375 w 5930378"/>
            <a:gd name="connsiteY65" fmla="*/ 152400 h 3505200"/>
            <a:gd name="connsiteX66" fmla="*/ 1885950 w 5930378"/>
            <a:gd name="connsiteY66" fmla="*/ 142875 h 3505200"/>
            <a:gd name="connsiteX67" fmla="*/ 1924050 w 5930378"/>
            <a:gd name="connsiteY67" fmla="*/ 114300 h 3505200"/>
            <a:gd name="connsiteX68" fmla="*/ 1981200 w 5930378"/>
            <a:gd name="connsiteY68" fmla="*/ 95250 h 3505200"/>
            <a:gd name="connsiteX69" fmla="*/ 2038350 w 5930378"/>
            <a:gd name="connsiteY69" fmla="*/ 76200 h 3505200"/>
            <a:gd name="connsiteX70" fmla="*/ 2124075 w 5930378"/>
            <a:gd name="connsiteY70" fmla="*/ 47625 h 3505200"/>
            <a:gd name="connsiteX71" fmla="*/ 2200275 w 5930378"/>
            <a:gd name="connsiteY71" fmla="*/ 28575 h 3505200"/>
            <a:gd name="connsiteX72" fmla="*/ 2247900 w 5930378"/>
            <a:gd name="connsiteY72" fmla="*/ 19050 h 3505200"/>
            <a:gd name="connsiteX73" fmla="*/ 2552700 w 5930378"/>
            <a:gd name="connsiteY73" fmla="*/ 0 h 3505200"/>
            <a:gd name="connsiteX74" fmla="*/ 3086100 w 5930378"/>
            <a:gd name="connsiteY74" fmla="*/ 9525 h 3505200"/>
            <a:gd name="connsiteX75" fmla="*/ 3228975 w 5930378"/>
            <a:gd name="connsiteY75" fmla="*/ 28575 h 3505200"/>
            <a:gd name="connsiteX76" fmla="*/ 3314700 w 5930378"/>
            <a:gd name="connsiteY76" fmla="*/ 38100 h 3505200"/>
            <a:gd name="connsiteX77" fmla="*/ 3733800 w 5930378"/>
            <a:gd name="connsiteY77" fmla="*/ 38100 h 3505200"/>
            <a:gd name="connsiteX78" fmla="*/ 3905250 w 5930378"/>
            <a:gd name="connsiteY78" fmla="*/ 28575 h 3505200"/>
            <a:gd name="connsiteX79" fmla="*/ 4238625 w 5930378"/>
            <a:gd name="connsiteY79" fmla="*/ 19050 h 3505200"/>
            <a:gd name="connsiteX80" fmla="*/ 4600575 w 5930378"/>
            <a:gd name="connsiteY80" fmla="*/ 28575 h 3505200"/>
            <a:gd name="connsiteX81" fmla="*/ 4752975 w 5930378"/>
            <a:gd name="connsiteY81" fmla="*/ 47625 h 3505200"/>
            <a:gd name="connsiteX82" fmla="*/ 4810125 w 5930378"/>
            <a:gd name="connsiteY82" fmla="*/ 66675 h 3505200"/>
            <a:gd name="connsiteX83" fmla="*/ 4857750 w 5930378"/>
            <a:gd name="connsiteY83" fmla="*/ 76200 h 3505200"/>
            <a:gd name="connsiteX84" fmla="*/ 4886325 w 5930378"/>
            <a:gd name="connsiteY84" fmla="*/ 85725 h 3505200"/>
            <a:gd name="connsiteX85" fmla="*/ 4943475 w 5930378"/>
            <a:gd name="connsiteY85" fmla="*/ 114300 h 3505200"/>
            <a:gd name="connsiteX86" fmla="*/ 4972050 w 5930378"/>
            <a:gd name="connsiteY86" fmla="*/ 133350 h 3505200"/>
            <a:gd name="connsiteX87" fmla="*/ 5038725 w 5930378"/>
            <a:gd name="connsiteY87" fmla="*/ 152400 h 3505200"/>
            <a:gd name="connsiteX88" fmla="*/ 5067300 w 5930378"/>
            <a:gd name="connsiteY88" fmla="*/ 161925 h 3505200"/>
            <a:gd name="connsiteX89" fmla="*/ 5153025 w 5930378"/>
            <a:gd name="connsiteY89" fmla="*/ 200025 h 3505200"/>
            <a:gd name="connsiteX90" fmla="*/ 5191125 w 5930378"/>
            <a:gd name="connsiteY90" fmla="*/ 219075 h 3505200"/>
            <a:gd name="connsiteX91" fmla="*/ 5248275 w 5930378"/>
            <a:gd name="connsiteY91" fmla="*/ 238125 h 3505200"/>
            <a:gd name="connsiteX92" fmla="*/ 5305425 w 5930378"/>
            <a:gd name="connsiteY92" fmla="*/ 266700 h 3505200"/>
            <a:gd name="connsiteX93" fmla="*/ 5372100 w 5930378"/>
            <a:gd name="connsiteY93" fmla="*/ 295275 h 3505200"/>
            <a:gd name="connsiteX94" fmla="*/ 5400675 w 5930378"/>
            <a:gd name="connsiteY94" fmla="*/ 314325 h 3505200"/>
            <a:gd name="connsiteX95" fmla="*/ 5429250 w 5930378"/>
            <a:gd name="connsiteY95" fmla="*/ 323850 h 3505200"/>
            <a:gd name="connsiteX96" fmla="*/ 5448300 w 5930378"/>
            <a:gd name="connsiteY96" fmla="*/ 352425 h 3505200"/>
            <a:gd name="connsiteX97" fmla="*/ 5476875 w 5930378"/>
            <a:gd name="connsiteY97" fmla="*/ 361950 h 3505200"/>
            <a:gd name="connsiteX98" fmla="*/ 5514975 w 5930378"/>
            <a:gd name="connsiteY98" fmla="*/ 381000 h 3505200"/>
            <a:gd name="connsiteX99" fmla="*/ 5572125 w 5930378"/>
            <a:gd name="connsiteY99" fmla="*/ 419100 h 3505200"/>
            <a:gd name="connsiteX100" fmla="*/ 5591175 w 5930378"/>
            <a:gd name="connsiteY100" fmla="*/ 447675 h 3505200"/>
            <a:gd name="connsiteX101" fmla="*/ 5648325 w 5930378"/>
            <a:gd name="connsiteY101" fmla="*/ 485775 h 3505200"/>
            <a:gd name="connsiteX102" fmla="*/ 5676900 w 5930378"/>
            <a:gd name="connsiteY102" fmla="*/ 523875 h 3505200"/>
            <a:gd name="connsiteX103" fmla="*/ 5705475 w 5930378"/>
            <a:gd name="connsiteY103" fmla="*/ 542925 h 3505200"/>
            <a:gd name="connsiteX104" fmla="*/ 5724525 w 5930378"/>
            <a:gd name="connsiteY104" fmla="*/ 581025 h 3505200"/>
            <a:gd name="connsiteX105" fmla="*/ 5743575 w 5930378"/>
            <a:gd name="connsiteY105" fmla="*/ 609600 h 3505200"/>
            <a:gd name="connsiteX106" fmla="*/ 5762625 w 5930378"/>
            <a:gd name="connsiteY106" fmla="*/ 647700 h 3505200"/>
            <a:gd name="connsiteX107" fmla="*/ 5781675 w 5930378"/>
            <a:gd name="connsiteY107" fmla="*/ 676275 h 3505200"/>
            <a:gd name="connsiteX108" fmla="*/ 5791200 w 5930378"/>
            <a:gd name="connsiteY108" fmla="*/ 704850 h 3505200"/>
            <a:gd name="connsiteX109" fmla="*/ 5810250 w 5930378"/>
            <a:gd name="connsiteY109" fmla="*/ 733425 h 3505200"/>
            <a:gd name="connsiteX110" fmla="*/ 5819775 w 5930378"/>
            <a:gd name="connsiteY110" fmla="*/ 762000 h 3505200"/>
            <a:gd name="connsiteX111" fmla="*/ 5838825 w 5930378"/>
            <a:gd name="connsiteY111" fmla="*/ 800100 h 3505200"/>
            <a:gd name="connsiteX112" fmla="*/ 5857875 w 5930378"/>
            <a:gd name="connsiteY112" fmla="*/ 857250 h 3505200"/>
            <a:gd name="connsiteX113" fmla="*/ 5876925 w 5930378"/>
            <a:gd name="connsiteY113" fmla="*/ 885825 h 3505200"/>
            <a:gd name="connsiteX114" fmla="*/ 5895975 w 5930378"/>
            <a:gd name="connsiteY114" fmla="*/ 952500 h 3505200"/>
            <a:gd name="connsiteX115" fmla="*/ 5915025 w 5930378"/>
            <a:gd name="connsiteY115" fmla="*/ 990600 h 3505200"/>
            <a:gd name="connsiteX116" fmla="*/ 5915025 w 5930378"/>
            <a:gd name="connsiteY116" fmla="*/ 1333500 h 3505200"/>
            <a:gd name="connsiteX117" fmla="*/ 5867400 w 5930378"/>
            <a:gd name="connsiteY117" fmla="*/ 1390650 h 3505200"/>
            <a:gd name="connsiteX118" fmla="*/ 5838825 w 5930378"/>
            <a:gd name="connsiteY118" fmla="*/ 1447800 h 3505200"/>
            <a:gd name="connsiteX119" fmla="*/ 5810250 w 5930378"/>
            <a:gd name="connsiteY119" fmla="*/ 1466850 h 3505200"/>
            <a:gd name="connsiteX120" fmla="*/ 5762625 w 5930378"/>
            <a:gd name="connsiteY120" fmla="*/ 1504950 h 3505200"/>
            <a:gd name="connsiteX121" fmla="*/ 5734050 w 5930378"/>
            <a:gd name="connsiteY121" fmla="*/ 1533525 h 3505200"/>
            <a:gd name="connsiteX122" fmla="*/ 5705475 w 5930378"/>
            <a:gd name="connsiteY122" fmla="*/ 1552575 h 3505200"/>
            <a:gd name="connsiteX123" fmla="*/ 5657850 w 5930378"/>
            <a:gd name="connsiteY123" fmla="*/ 1590675 h 3505200"/>
            <a:gd name="connsiteX124" fmla="*/ 5629275 w 5930378"/>
            <a:gd name="connsiteY124" fmla="*/ 1609725 h 3505200"/>
            <a:gd name="connsiteX125" fmla="*/ 5572125 w 5930378"/>
            <a:gd name="connsiteY125" fmla="*/ 1628775 h 3505200"/>
            <a:gd name="connsiteX126" fmla="*/ 5543550 w 5930378"/>
            <a:gd name="connsiteY126" fmla="*/ 1647825 h 3505200"/>
            <a:gd name="connsiteX127" fmla="*/ 5381625 w 5930378"/>
            <a:gd name="connsiteY127" fmla="*/ 1666875 h 3505200"/>
            <a:gd name="connsiteX128" fmla="*/ 5114925 w 5930378"/>
            <a:gd name="connsiteY128" fmla="*/ 1657350 h 3505200"/>
            <a:gd name="connsiteX129" fmla="*/ 5076825 w 5930378"/>
            <a:gd name="connsiteY129" fmla="*/ 1647825 h 3505200"/>
            <a:gd name="connsiteX130" fmla="*/ 4972050 w 5930378"/>
            <a:gd name="connsiteY130" fmla="*/ 1638300 h 3505200"/>
            <a:gd name="connsiteX131" fmla="*/ 4705350 w 5930378"/>
            <a:gd name="connsiteY131" fmla="*/ 1647825 h 3505200"/>
            <a:gd name="connsiteX132" fmla="*/ 4676775 w 5930378"/>
            <a:gd name="connsiteY132" fmla="*/ 1666875 h 3505200"/>
            <a:gd name="connsiteX133" fmla="*/ 4648200 w 5930378"/>
            <a:gd name="connsiteY133" fmla="*/ 1676400 h 3505200"/>
            <a:gd name="connsiteX134" fmla="*/ 4619625 w 5930378"/>
            <a:gd name="connsiteY134" fmla="*/ 1695450 h 3505200"/>
            <a:gd name="connsiteX135" fmla="*/ 4562475 w 5930378"/>
            <a:gd name="connsiteY135" fmla="*/ 1743075 h 3505200"/>
            <a:gd name="connsiteX136" fmla="*/ 4524375 w 5930378"/>
            <a:gd name="connsiteY136" fmla="*/ 1800225 h 3505200"/>
            <a:gd name="connsiteX137" fmla="*/ 4467225 w 5930378"/>
            <a:gd name="connsiteY137" fmla="*/ 1885950 h 3505200"/>
            <a:gd name="connsiteX138" fmla="*/ 4448175 w 5930378"/>
            <a:gd name="connsiteY138" fmla="*/ 1914525 h 3505200"/>
            <a:gd name="connsiteX139" fmla="*/ 4419600 w 5930378"/>
            <a:gd name="connsiteY139" fmla="*/ 2009775 h 3505200"/>
            <a:gd name="connsiteX140" fmla="*/ 4410075 w 5930378"/>
            <a:gd name="connsiteY140" fmla="*/ 2038350 h 3505200"/>
            <a:gd name="connsiteX141" fmla="*/ 4400550 w 5930378"/>
            <a:gd name="connsiteY141" fmla="*/ 2076450 h 3505200"/>
            <a:gd name="connsiteX142" fmla="*/ 4371975 w 5930378"/>
            <a:gd name="connsiteY142" fmla="*/ 2162175 h 3505200"/>
            <a:gd name="connsiteX143" fmla="*/ 4343400 w 5930378"/>
            <a:gd name="connsiteY143" fmla="*/ 2247900 h 3505200"/>
            <a:gd name="connsiteX144" fmla="*/ 4324350 w 5930378"/>
            <a:gd name="connsiteY144" fmla="*/ 2276475 h 3505200"/>
            <a:gd name="connsiteX145" fmla="*/ 4286250 w 5930378"/>
            <a:gd name="connsiteY145" fmla="*/ 2343150 h 3505200"/>
            <a:gd name="connsiteX146" fmla="*/ 4276725 w 5930378"/>
            <a:gd name="connsiteY146" fmla="*/ 2371725 h 3505200"/>
            <a:gd name="connsiteX147" fmla="*/ 4210050 w 5930378"/>
            <a:gd name="connsiteY147" fmla="*/ 2447925 h 3505200"/>
            <a:gd name="connsiteX148" fmla="*/ 4171950 w 5930378"/>
            <a:gd name="connsiteY148" fmla="*/ 2505075 h 3505200"/>
            <a:gd name="connsiteX149" fmla="*/ 4133850 w 5930378"/>
            <a:gd name="connsiteY149" fmla="*/ 2533650 h 3505200"/>
            <a:gd name="connsiteX150" fmla="*/ 4114800 w 5930378"/>
            <a:gd name="connsiteY150" fmla="*/ 2562225 h 3505200"/>
            <a:gd name="connsiteX151" fmla="*/ 4086225 w 5930378"/>
            <a:gd name="connsiteY151" fmla="*/ 2590800 h 3505200"/>
            <a:gd name="connsiteX152" fmla="*/ 4038600 w 5930378"/>
            <a:gd name="connsiteY152" fmla="*/ 2657475 h 3505200"/>
            <a:gd name="connsiteX153" fmla="*/ 3952875 w 5930378"/>
            <a:gd name="connsiteY153" fmla="*/ 2733675 h 3505200"/>
            <a:gd name="connsiteX154" fmla="*/ 3905250 w 5930378"/>
            <a:gd name="connsiteY154" fmla="*/ 2771775 h 3505200"/>
            <a:gd name="connsiteX155" fmla="*/ 3438525 w 5930378"/>
            <a:gd name="connsiteY155" fmla="*/ 2819400 h 3505200"/>
            <a:gd name="connsiteX156" fmla="*/ 3400425 w 5930378"/>
            <a:gd name="connsiteY156" fmla="*/ 2828925 h 3505200"/>
            <a:gd name="connsiteX157" fmla="*/ 3333750 w 5930378"/>
            <a:gd name="connsiteY157" fmla="*/ 2838450 h 3505200"/>
            <a:gd name="connsiteX158" fmla="*/ 3295650 w 5930378"/>
            <a:gd name="connsiteY158" fmla="*/ 2857500 h 3505200"/>
            <a:gd name="connsiteX159" fmla="*/ 3209925 w 5930378"/>
            <a:gd name="connsiteY159" fmla="*/ 2886075 h 3505200"/>
            <a:gd name="connsiteX160" fmla="*/ 3171825 w 5930378"/>
            <a:gd name="connsiteY160" fmla="*/ 2905125 h 3505200"/>
            <a:gd name="connsiteX161" fmla="*/ 3143250 w 5930378"/>
            <a:gd name="connsiteY161" fmla="*/ 2924175 h 3505200"/>
            <a:gd name="connsiteX162" fmla="*/ 3114675 w 5930378"/>
            <a:gd name="connsiteY162" fmla="*/ 2933700 h 3505200"/>
            <a:gd name="connsiteX163" fmla="*/ 3086100 w 5930378"/>
            <a:gd name="connsiteY163" fmla="*/ 2952750 h 3505200"/>
            <a:gd name="connsiteX164" fmla="*/ 3048000 w 5930378"/>
            <a:gd name="connsiteY164" fmla="*/ 2971800 h 3505200"/>
            <a:gd name="connsiteX165" fmla="*/ 3028950 w 5930378"/>
            <a:gd name="connsiteY165" fmla="*/ 3000375 h 3505200"/>
            <a:gd name="connsiteX166" fmla="*/ 2971800 w 5930378"/>
            <a:gd name="connsiteY166" fmla="*/ 3038475 h 3505200"/>
            <a:gd name="connsiteX167" fmla="*/ 2943225 w 5930378"/>
            <a:gd name="connsiteY167" fmla="*/ 3067050 h 3505200"/>
            <a:gd name="connsiteX168" fmla="*/ 2914650 w 5930378"/>
            <a:gd name="connsiteY168" fmla="*/ 3086100 h 3505200"/>
            <a:gd name="connsiteX169" fmla="*/ 2886075 w 5930378"/>
            <a:gd name="connsiteY169" fmla="*/ 3114675 h 3505200"/>
            <a:gd name="connsiteX170" fmla="*/ 2857500 w 5930378"/>
            <a:gd name="connsiteY170" fmla="*/ 3133725 h 3505200"/>
            <a:gd name="connsiteX171" fmla="*/ 2800350 w 5930378"/>
            <a:gd name="connsiteY171" fmla="*/ 3190875 h 3505200"/>
            <a:gd name="connsiteX172" fmla="*/ 2762250 w 5930378"/>
            <a:gd name="connsiteY172" fmla="*/ 3209925 h 3505200"/>
            <a:gd name="connsiteX173" fmla="*/ 2733675 w 5930378"/>
            <a:gd name="connsiteY173" fmla="*/ 3238500 h 3505200"/>
            <a:gd name="connsiteX174" fmla="*/ 2676525 w 5930378"/>
            <a:gd name="connsiteY174" fmla="*/ 3276600 h 3505200"/>
            <a:gd name="connsiteX175" fmla="*/ 2628900 w 5930378"/>
            <a:gd name="connsiteY175" fmla="*/ 3333750 h 3505200"/>
            <a:gd name="connsiteX176" fmla="*/ 2590800 w 5930378"/>
            <a:gd name="connsiteY176" fmla="*/ 3352800 h 3505200"/>
            <a:gd name="connsiteX177" fmla="*/ 2533650 w 5930378"/>
            <a:gd name="connsiteY177" fmla="*/ 3390900 h 3505200"/>
            <a:gd name="connsiteX178" fmla="*/ 2505075 w 5930378"/>
            <a:gd name="connsiteY178" fmla="*/ 3409950 h 3505200"/>
            <a:gd name="connsiteX179" fmla="*/ 2419350 w 5930378"/>
            <a:gd name="connsiteY179" fmla="*/ 3448050 h 3505200"/>
            <a:gd name="connsiteX180" fmla="*/ 2371725 w 5930378"/>
            <a:gd name="connsiteY180" fmla="*/ 3457575 h 3505200"/>
            <a:gd name="connsiteX181" fmla="*/ 2343150 w 5930378"/>
            <a:gd name="connsiteY181" fmla="*/ 3476625 h 3505200"/>
            <a:gd name="connsiteX182" fmla="*/ 2305050 w 5930378"/>
            <a:gd name="connsiteY182" fmla="*/ 3486150 h 3505200"/>
            <a:gd name="connsiteX183" fmla="*/ 2143125 w 5930378"/>
            <a:gd name="connsiteY183" fmla="*/ 3495675 h 3505200"/>
            <a:gd name="connsiteX184" fmla="*/ 2105025 w 5930378"/>
            <a:gd name="connsiteY184" fmla="*/ 3505200 h 3505200"/>
            <a:gd name="connsiteX185" fmla="*/ 504825 w 5930378"/>
            <a:gd name="connsiteY185" fmla="*/ 3505200 h 3505200"/>
            <a:gd name="connsiteX186" fmla="*/ 247650 w 5930378"/>
            <a:gd name="connsiteY186" fmla="*/ 3495675 h 3505200"/>
            <a:gd name="connsiteX187" fmla="*/ 171450 w 5930378"/>
            <a:gd name="connsiteY187" fmla="*/ 3457575 h 3505200"/>
            <a:gd name="connsiteX188" fmla="*/ 123825 w 5930378"/>
            <a:gd name="connsiteY188" fmla="*/ 3438525 h 3505200"/>
            <a:gd name="connsiteX189" fmla="*/ 95250 w 5930378"/>
            <a:gd name="connsiteY189" fmla="*/ 3419475 h 3505200"/>
            <a:gd name="connsiteX190" fmla="*/ 19050 w 5930378"/>
            <a:gd name="connsiteY190" fmla="*/ 3333750 h 3505200"/>
            <a:gd name="connsiteX191" fmla="*/ 0 w 5930378"/>
            <a:gd name="connsiteY191" fmla="*/ 3267075 h 3505200"/>
            <a:gd name="connsiteX192" fmla="*/ 9525 w 5930378"/>
            <a:gd name="connsiteY192" fmla="*/ 3190875 h 3505200"/>
            <a:gd name="connsiteX193" fmla="*/ 19050 w 5930378"/>
            <a:gd name="connsiteY193" fmla="*/ 3086100 h 3505200"/>
            <a:gd name="connsiteX194" fmla="*/ 19050 w 5930378"/>
            <a:gd name="connsiteY194" fmla="*/ 3038475 h 3505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  <a:cxn ang="0">
              <a:pos x="connsiteX147" y="connsiteY147"/>
            </a:cxn>
            <a:cxn ang="0">
              <a:pos x="connsiteX148" y="connsiteY148"/>
            </a:cxn>
            <a:cxn ang="0">
              <a:pos x="connsiteX149" y="connsiteY149"/>
            </a:cxn>
            <a:cxn ang="0">
              <a:pos x="connsiteX150" y="connsiteY150"/>
            </a:cxn>
            <a:cxn ang="0">
              <a:pos x="connsiteX151" y="connsiteY151"/>
            </a:cxn>
            <a:cxn ang="0">
              <a:pos x="connsiteX152" y="connsiteY152"/>
            </a:cxn>
            <a:cxn ang="0">
              <a:pos x="connsiteX153" y="connsiteY153"/>
            </a:cxn>
            <a:cxn ang="0">
              <a:pos x="connsiteX154" y="connsiteY154"/>
            </a:cxn>
            <a:cxn ang="0">
              <a:pos x="connsiteX155" y="connsiteY155"/>
            </a:cxn>
            <a:cxn ang="0">
              <a:pos x="connsiteX156" y="connsiteY156"/>
            </a:cxn>
            <a:cxn ang="0">
              <a:pos x="connsiteX157" y="connsiteY157"/>
            </a:cxn>
            <a:cxn ang="0">
              <a:pos x="connsiteX158" y="connsiteY158"/>
            </a:cxn>
            <a:cxn ang="0">
              <a:pos x="connsiteX159" y="connsiteY159"/>
            </a:cxn>
            <a:cxn ang="0">
              <a:pos x="connsiteX160" y="connsiteY160"/>
            </a:cxn>
            <a:cxn ang="0">
              <a:pos x="connsiteX161" y="connsiteY161"/>
            </a:cxn>
            <a:cxn ang="0">
              <a:pos x="connsiteX162" y="connsiteY162"/>
            </a:cxn>
            <a:cxn ang="0">
              <a:pos x="connsiteX163" y="connsiteY163"/>
            </a:cxn>
            <a:cxn ang="0">
              <a:pos x="connsiteX164" y="connsiteY164"/>
            </a:cxn>
            <a:cxn ang="0">
              <a:pos x="connsiteX165" y="connsiteY165"/>
            </a:cxn>
            <a:cxn ang="0">
              <a:pos x="connsiteX166" y="connsiteY166"/>
            </a:cxn>
            <a:cxn ang="0">
              <a:pos x="connsiteX167" y="connsiteY167"/>
            </a:cxn>
            <a:cxn ang="0">
              <a:pos x="connsiteX168" y="connsiteY168"/>
            </a:cxn>
            <a:cxn ang="0">
              <a:pos x="connsiteX169" y="connsiteY169"/>
            </a:cxn>
            <a:cxn ang="0">
              <a:pos x="connsiteX170" y="connsiteY170"/>
            </a:cxn>
            <a:cxn ang="0">
              <a:pos x="connsiteX171" y="connsiteY171"/>
            </a:cxn>
            <a:cxn ang="0">
              <a:pos x="connsiteX172" y="connsiteY172"/>
            </a:cxn>
            <a:cxn ang="0">
              <a:pos x="connsiteX173" y="connsiteY173"/>
            </a:cxn>
            <a:cxn ang="0">
              <a:pos x="connsiteX174" y="connsiteY174"/>
            </a:cxn>
            <a:cxn ang="0">
              <a:pos x="connsiteX175" y="connsiteY175"/>
            </a:cxn>
            <a:cxn ang="0">
              <a:pos x="connsiteX176" y="connsiteY176"/>
            </a:cxn>
            <a:cxn ang="0">
              <a:pos x="connsiteX177" y="connsiteY177"/>
            </a:cxn>
            <a:cxn ang="0">
              <a:pos x="connsiteX178" y="connsiteY178"/>
            </a:cxn>
            <a:cxn ang="0">
              <a:pos x="connsiteX179" y="connsiteY179"/>
            </a:cxn>
            <a:cxn ang="0">
              <a:pos x="connsiteX180" y="connsiteY180"/>
            </a:cxn>
            <a:cxn ang="0">
              <a:pos x="connsiteX181" y="connsiteY181"/>
            </a:cxn>
            <a:cxn ang="0">
              <a:pos x="connsiteX182" y="connsiteY182"/>
            </a:cxn>
            <a:cxn ang="0">
              <a:pos x="connsiteX183" y="connsiteY183"/>
            </a:cxn>
            <a:cxn ang="0">
              <a:pos x="connsiteX184" y="connsiteY184"/>
            </a:cxn>
            <a:cxn ang="0">
              <a:pos x="connsiteX185" y="connsiteY185"/>
            </a:cxn>
            <a:cxn ang="0">
              <a:pos x="connsiteX186" y="connsiteY186"/>
            </a:cxn>
            <a:cxn ang="0">
              <a:pos x="connsiteX187" y="connsiteY187"/>
            </a:cxn>
            <a:cxn ang="0">
              <a:pos x="connsiteX188" y="connsiteY188"/>
            </a:cxn>
            <a:cxn ang="0">
              <a:pos x="connsiteX189" y="connsiteY189"/>
            </a:cxn>
            <a:cxn ang="0">
              <a:pos x="connsiteX190" y="connsiteY190"/>
            </a:cxn>
            <a:cxn ang="0">
              <a:pos x="connsiteX191" y="connsiteY191"/>
            </a:cxn>
            <a:cxn ang="0">
              <a:pos x="connsiteX192" y="connsiteY192"/>
            </a:cxn>
            <a:cxn ang="0">
              <a:pos x="connsiteX193" y="connsiteY193"/>
            </a:cxn>
            <a:cxn ang="0">
              <a:pos x="connsiteX194" y="connsiteY194"/>
            </a:cxn>
          </a:cxnLst>
          <a:rect l="l" t="t" r="r" b="b"/>
          <a:pathLst>
            <a:path w="5930378" h="3505200">
              <a:moveTo>
                <a:pt x="19050" y="3038475"/>
              </a:moveTo>
              <a:cubicBezTo>
                <a:pt x="23812" y="3022600"/>
                <a:pt x="39964" y="3007704"/>
                <a:pt x="47625" y="2990850"/>
              </a:cubicBezTo>
              <a:cubicBezTo>
                <a:pt x="55934" y="2972569"/>
                <a:pt x="55536" y="2950408"/>
                <a:pt x="66675" y="2933700"/>
              </a:cubicBezTo>
              <a:lnTo>
                <a:pt x="142875" y="2819400"/>
              </a:lnTo>
              <a:lnTo>
                <a:pt x="161925" y="2790825"/>
              </a:lnTo>
              <a:cubicBezTo>
                <a:pt x="168275" y="2781300"/>
                <a:pt x="177355" y="2773110"/>
                <a:pt x="180975" y="2762250"/>
              </a:cubicBezTo>
              <a:lnTo>
                <a:pt x="228600" y="2619375"/>
              </a:lnTo>
              <a:cubicBezTo>
                <a:pt x="232220" y="2608515"/>
                <a:pt x="242530" y="2601039"/>
                <a:pt x="247650" y="2590800"/>
              </a:cubicBezTo>
              <a:cubicBezTo>
                <a:pt x="252140" y="2581820"/>
                <a:pt x="254740" y="2571965"/>
                <a:pt x="257175" y="2562225"/>
              </a:cubicBezTo>
              <a:cubicBezTo>
                <a:pt x="261102" y="2546519"/>
                <a:pt x="263804" y="2530528"/>
                <a:pt x="266700" y="2514600"/>
              </a:cubicBezTo>
              <a:cubicBezTo>
                <a:pt x="270155" y="2495599"/>
                <a:pt x="271541" y="2476186"/>
                <a:pt x="276225" y="2457450"/>
              </a:cubicBezTo>
              <a:cubicBezTo>
                <a:pt x="300799" y="2359156"/>
                <a:pt x="283051" y="2434273"/>
                <a:pt x="314325" y="2371725"/>
              </a:cubicBezTo>
              <a:cubicBezTo>
                <a:pt x="318815" y="2362745"/>
                <a:pt x="319360" y="2352130"/>
                <a:pt x="323850" y="2343150"/>
              </a:cubicBezTo>
              <a:cubicBezTo>
                <a:pt x="328970" y="2332911"/>
                <a:pt x="337780" y="2324814"/>
                <a:pt x="342900" y="2314575"/>
              </a:cubicBezTo>
              <a:cubicBezTo>
                <a:pt x="347390" y="2305595"/>
                <a:pt x="346153" y="2293840"/>
                <a:pt x="352425" y="2286000"/>
              </a:cubicBezTo>
              <a:cubicBezTo>
                <a:pt x="359576" y="2277061"/>
                <a:pt x="371475" y="2273300"/>
                <a:pt x="381000" y="2266950"/>
              </a:cubicBezTo>
              <a:cubicBezTo>
                <a:pt x="384175" y="2257425"/>
                <a:pt x="385649" y="2247152"/>
                <a:pt x="390525" y="2238375"/>
              </a:cubicBezTo>
              <a:lnTo>
                <a:pt x="447675" y="2152650"/>
              </a:lnTo>
              <a:lnTo>
                <a:pt x="542925" y="2009775"/>
              </a:lnTo>
              <a:cubicBezTo>
                <a:pt x="551731" y="1996566"/>
                <a:pt x="561975" y="1984375"/>
                <a:pt x="571500" y="1971675"/>
              </a:cubicBezTo>
              <a:cubicBezTo>
                <a:pt x="588265" y="1921380"/>
                <a:pt x="575456" y="1951454"/>
                <a:pt x="619125" y="1885950"/>
              </a:cubicBezTo>
              <a:lnTo>
                <a:pt x="657225" y="1828800"/>
              </a:lnTo>
              <a:cubicBezTo>
                <a:pt x="664697" y="1817592"/>
                <a:pt x="676275" y="1809750"/>
                <a:pt x="685800" y="1800225"/>
              </a:cubicBezTo>
              <a:cubicBezTo>
                <a:pt x="688975" y="1790700"/>
                <a:pt x="690835" y="1780630"/>
                <a:pt x="695325" y="1771650"/>
              </a:cubicBezTo>
              <a:cubicBezTo>
                <a:pt x="708586" y="1745128"/>
                <a:pt x="721884" y="1735566"/>
                <a:pt x="742950" y="1714500"/>
              </a:cubicBezTo>
              <a:cubicBezTo>
                <a:pt x="746125" y="1704975"/>
                <a:pt x="747599" y="1694702"/>
                <a:pt x="752475" y="1685925"/>
              </a:cubicBezTo>
              <a:cubicBezTo>
                <a:pt x="763594" y="1665911"/>
                <a:pt x="777875" y="1647825"/>
                <a:pt x="790575" y="1628775"/>
              </a:cubicBezTo>
              <a:lnTo>
                <a:pt x="828675" y="1571625"/>
              </a:lnTo>
              <a:cubicBezTo>
                <a:pt x="835025" y="1562100"/>
                <a:pt x="844105" y="1553910"/>
                <a:pt x="847725" y="1543050"/>
              </a:cubicBezTo>
              <a:cubicBezTo>
                <a:pt x="850900" y="1533525"/>
                <a:pt x="852374" y="1523252"/>
                <a:pt x="857250" y="1514475"/>
              </a:cubicBezTo>
              <a:cubicBezTo>
                <a:pt x="868369" y="1494461"/>
                <a:pt x="882650" y="1476375"/>
                <a:pt x="895350" y="1457325"/>
              </a:cubicBezTo>
              <a:cubicBezTo>
                <a:pt x="901700" y="1447800"/>
                <a:pt x="906305" y="1436845"/>
                <a:pt x="914400" y="1428750"/>
              </a:cubicBezTo>
              <a:cubicBezTo>
                <a:pt x="923925" y="1419225"/>
                <a:pt x="934351" y="1410523"/>
                <a:pt x="942975" y="1400175"/>
              </a:cubicBezTo>
              <a:cubicBezTo>
                <a:pt x="985260" y="1349433"/>
                <a:pt x="942911" y="1394575"/>
                <a:pt x="971550" y="1343025"/>
              </a:cubicBezTo>
              <a:lnTo>
                <a:pt x="1028700" y="1257300"/>
              </a:lnTo>
              <a:cubicBezTo>
                <a:pt x="1036172" y="1246092"/>
                <a:pt x="1047750" y="1238250"/>
                <a:pt x="1057275" y="1228725"/>
              </a:cubicBezTo>
              <a:cubicBezTo>
                <a:pt x="1060450" y="1219200"/>
                <a:pt x="1061924" y="1208927"/>
                <a:pt x="1066800" y="1200150"/>
              </a:cubicBezTo>
              <a:cubicBezTo>
                <a:pt x="1077919" y="1180136"/>
                <a:pt x="1092200" y="1162050"/>
                <a:pt x="1104900" y="1143000"/>
              </a:cubicBezTo>
              <a:lnTo>
                <a:pt x="1143000" y="1085850"/>
              </a:lnTo>
              <a:cubicBezTo>
                <a:pt x="1148569" y="1077496"/>
                <a:pt x="1148570" y="1066503"/>
                <a:pt x="1152525" y="1057275"/>
              </a:cubicBezTo>
              <a:cubicBezTo>
                <a:pt x="1202622" y="940383"/>
                <a:pt x="1142796" y="1086259"/>
                <a:pt x="1190625" y="990600"/>
              </a:cubicBezTo>
              <a:cubicBezTo>
                <a:pt x="1195115" y="981620"/>
                <a:pt x="1194581" y="970379"/>
                <a:pt x="1200150" y="962025"/>
              </a:cubicBezTo>
              <a:cubicBezTo>
                <a:pt x="1207622" y="950817"/>
                <a:pt x="1220101" y="943798"/>
                <a:pt x="1228725" y="933450"/>
              </a:cubicBezTo>
              <a:cubicBezTo>
                <a:pt x="1271010" y="882708"/>
                <a:pt x="1228661" y="927850"/>
                <a:pt x="1257300" y="876300"/>
              </a:cubicBezTo>
              <a:cubicBezTo>
                <a:pt x="1268419" y="856286"/>
                <a:pt x="1282700" y="838200"/>
                <a:pt x="1295400" y="819150"/>
              </a:cubicBezTo>
              <a:cubicBezTo>
                <a:pt x="1301750" y="809625"/>
                <a:pt x="1310830" y="801435"/>
                <a:pt x="1314450" y="790575"/>
              </a:cubicBezTo>
              <a:cubicBezTo>
                <a:pt x="1317625" y="781050"/>
                <a:pt x="1319099" y="770777"/>
                <a:pt x="1323975" y="762000"/>
              </a:cubicBezTo>
              <a:lnTo>
                <a:pt x="1381125" y="676275"/>
              </a:lnTo>
              <a:cubicBezTo>
                <a:pt x="1386694" y="667921"/>
                <a:pt x="1386160" y="656680"/>
                <a:pt x="1390650" y="647700"/>
              </a:cubicBezTo>
              <a:cubicBezTo>
                <a:pt x="1395770" y="637461"/>
                <a:pt x="1404580" y="629364"/>
                <a:pt x="1409700" y="619125"/>
              </a:cubicBezTo>
              <a:cubicBezTo>
                <a:pt x="1414190" y="610145"/>
                <a:pt x="1414735" y="599530"/>
                <a:pt x="1419225" y="590550"/>
              </a:cubicBezTo>
              <a:cubicBezTo>
                <a:pt x="1424345" y="580311"/>
                <a:pt x="1433155" y="572214"/>
                <a:pt x="1438275" y="561975"/>
              </a:cubicBezTo>
              <a:cubicBezTo>
                <a:pt x="1442765" y="552995"/>
                <a:pt x="1442231" y="541754"/>
                <a:pt x="1447800" y="533400"/>
              </a:cubicBezTo>
              <a:cubicBezTo>
                <a:pt x="1455272" y="522192"/>
                <a:pt x="1466850" y="514350"/>
                <a:pt x="1476375" y="504825"/>
              </a:cubicBezTo>
              <a:cubicBezTo>
                <a:pt x="1479550" y="495300"/>
                <a:pt x="1481024" y="485027"/>
                <a:pt x="1485900" y="476250"/>
              </a:cubicBezTo>
              <a:cubicBezTo>
                <a:pt x="1497019" y="456236"/>
                <a:pt x="1511300" y="438150"/>
                <a:pt x="1524000" y="419100"/>
              </a:cubicBezTo>
              <a:lnTo>
                <a:pt x="1543050" y="390525"/>
              </a:lnTo>
              <a:lnTo>
                <a:pt x="1562100" y="361950"/>
              </a:lnTo>
              <a:cubicBezTo>
                <a:pt x="1568450" y="352425"/>
                <a:pt x="1571625" y="339725"/>
                <a:pt x="1581150" y="333375"/>
              </a:cubicBezTo>
              <a:cubicBezTo>
                <a:pt x="1590675" y="327025"/>
                <a:pt x="1600931" y="321654"/>
                <a:pt x="1609725" y="314325"/>
              </a:cubicBezTo>
              <a:cubicBezTo>
                <a:pt x="1620073" y="305701"/>
                <a:pt x="1629676" y="296098"/>
                <a:pt x="1638300" y="285750"/>
              </a:cubicBezTo>
              <a:cubicBezTo>
                <a:pt x="1645629" y="276956"/>
                <a:pt x="1648411" y="264326"/>
                <a:pt x="1657350" y="257175"/>
              </a:cubicBezTo>
              <a:cubicBezTo>
                <a:pt x="1665190" y="250903"/>
                <a:pt x="1676400" y="250825"/>
                <a:pt x="1685925" y="247650"/>
              </a:cubicBezTo>
              <a:lnTo>
                <a:pt x="1771650" y="190500"/>
              </a:lnTo>
              <a:cubicBezTo>
                <a:pt x="1781175" y="184150"/>
                <a:pt x="1789365" y="175070"/>
                <a:pt x="1800225" y="171450"/>
              </a:cubicBezTo>
              <a:lnTo>
                <a:pt x="1857375" y="152400"/>
              </a:lnTo>
              <a:lnTo>
                <a:pt x="1885950" y="142875"/>
              </a:lnTo>
              <a:cubicBezTo>
                <a:pt x="1898650" y="133350"/>
                <a:pt x="1909851" y="121400"/>
                <a:pt x="1924050" y="114300"/>
              </a:cubicBezTo>
              <a:cubicBezTo>
                <a:pt x="1942011" y="105320"/>
                <a:pt x="1962150" y="101600"/>
                <a:pt x="1981200" y="95250"/>
              </a:cubicBezTo>
              <a:lnTo>
                <a:pt x="2038350" y="76200"/>
              </a:lnTo>
              <a:lnTo>
                <a:pt x="2124075" y="47625"/>
              </a:lnTo>
              <a:cubicBezTo>
                <a:pt x="2148913" y="39346"/>
                <a:pt x="2174875" y="34925"/>
                <a:pt x="2200275" y="28575"/>
              </a:cubicBezTo>
              <a:cubicBezTo>
                <a:pt x="2215981" y="24648"/>
                <a:pt x="2231822" y="20942"/>
                <a:pt x="2247900" y="19050"/>
              </a:cubicBezTo>
              <a:cubicBezTo>
                <a:pt x="2335442" y="8751"/>
                <a:pt x="2473879" y="3941"/>
                <a:pt x="2552700" y="0"/>
              </a:cubicBezTo>
              <a:lnTo>
                <a:pt x="3086100" y="9525"/>
              </a:lnTo>
              <a:cubicBezTo>
                <a:pt x="3207466" y="13203"/>
                <a:pt x="3144984" y="16576"/>
                <a:pt x="3228975" y="28575"/>
              </a:cubicBezTo>
              <a:cubicBezTo>
                <a:pt x="3257437" y="32641"/>
                <a:pt x="3286125" y="34925"/>
                <a:pt x="3314700" y="38100"/>
              </a:cubicBezTo>
              <a:cubicBezTo>
                <a:pt x="3466007" y="88536"/>
                <a:pt x="3343609" y="51327"/>
                <a:pt x="3733800" y="38100"/>
              </a:cubicBezTo>
              <a:cubicBezTo>
                <a:pt x="3791005" y="36161"/>
                <a:pt x="3848053" y="30733"/>
                <a:pt x="3905250" y="28575"/>
              </a:cubicBezTo>
              <a:lnTo>
                <a:pt x="4238625" y="19050"/>
              </a:lnTo>
              <a:cubicBezTo>
                <a:pt x="4359275" y="22225"/>
                <a:pt x="4480069" y="21880"/>
                <a:pt x="4600575" y="28575"/>
              </a:cubicBezTo>
              <a:cubicBezTo>
                <a:pt x="4651692" y="31415"/>
                <a:pt x="4752975" y="47625"/>
                <a:pt x="4752975" y="47625"/>
              </a:cubicBezTo>
              <a:lnTo>
                <a:pt x="4810125" y="66675"/>
              </a:lnTo>
              <a:cubicBezTo>
                <a:pt x="4825484" y="71795"/>
                <a:pt x="4842044" y="72273"/>
                <a:pt x="4857750" y="76200"/>
              </a:cubicBezTo>
              <a:cubicBezTo>
                <a:pt x="4867490" y="78635"/>
                <a:pt x="4876800" y="82550"/>
                <a:pt x="4886325" y="85725"/>
              </a:cubicBezTo>
              <a:cubicBezTo>
                <a:pt x="4968217" y="140320"/>
                <a:pt x="4864605" y="74865"/>
                <a:pt x="4943475" y="114300"/>
              </a:cubicBezTo>
              <a:cubicBezTo>
                <a:pt x="4953714" y="119420"/>
                <a:pt x="4961811" y="128230"/>
                <a:pt x="4972050" y="133350"/>
              </a:cubicBezTo>
              <a:cubicBezTo>
                <a:pt x="4987275" y="140963"/>
                <a:pt x="5024483" y="148331"/>
                <a:pt x="5038725" y="152400"/>
              </a:cubicBezTo>
              <a:cubicBezTo>
                <a:pt x="5048379" y="155158"/>
                <a:pt x="5057775" y="158750"/>
                <a:pt x="5067300" y="161925"/>
              </a:cubicBezTo>
              <a:cubicBezTo>
                <a:pt x="5151355" y="217961"/>
                <a:pt x="5017005" y="132015"/>
                <a:pt x="5153025" y="200025"/>
              </a:cubicBezTo>
              <a:cubicBezTo>
                <a:pt x="5165725" y="206375"/>
                <a:pt x="5177942" y="213802"/>
                <a:pt x="5191125" y="219075"/>
              </a:cubicBezTo>
              <a:cubicBezTo>
                <a:pt x="5209769" y="226533"/>
                <a:pt x="5248275" y="238125"/>
                <a:pt x="5248275" y="238125"/>
              </a:cubicBezTo>
              <a:cubicBezTo>
                <a:pt x="5303189" y="274734"/>
                <a:pt x="5250216" y="243039"/>
                <a:pt x="5305425" y="266700"/>
              </a:cubicBezTo>
              <a:cubicBezTo>
                <a:pt x="5387815" y="302010"/>
                <a:pt x="5305087" y="272937"/>
                <a:pt x="5372100" y="295275"/>
              </a:cubicBezTo>
              <a:cubicBezTo>
                <a:pt x="5381625" y="301625"/>
                <a:pt x="5390436" y="309205"/>
                <a:pt x="5400675" y="314325"/>
              </a:cubicBezTo>
              <a:cubicBezTo>
                <a:pt x="5409655" y="318815"/>
                <a:pt x="5421410" y="317578"/>
                <a:pt x="5429250" y="323850"/>
              </a:cubicBezTo>
              <a:cubicBezTo>
                <a:pt x="5438189" y="331001"/>
                <a:pt x="5439361" y="345274"/>
                <a:pt x="5448300" y="352425"/>
              </a:cubicBezTo>
              <a:cubicBezTo>
                <a:pt x="5456140" y="358697"/>
                <a:pt x="5467647" y="357995"/>
                <a:pt x="5476875" y="361950"/>
              </a:cubicBezTo>
              <a:cubicBezTo>
                <a:pt x="5489926" y="367543"/>
                <a:pt x="5502799" y="373695"/>
                <a:pt x="5514975" y="381000"/>
              </a:cubicBezTo>
              <a:cubicBezTo>
                <a:pt x="5534608" y="392780"/>
                <a:pt x="5572125" y="419100"/>
                <a:pt x="5572125" y="419100"/>
              </a:cubicBezTo>
              <a:cubicBezTo>
                <a:pt x="5578475" y="428625"/>
                <a:pt x="5582560" y="440137"/>
                <a:pt x="5591175" y="447675"/>
              </a:cubicBezTo>
              <a:cubicBezTo>
                <a:pt x="5608405" y="462752"/>
                <a:pt x="5648325" y="485775"/>
                <a:pt x="5648325" y="485775"/>
              </a:cubicBezTo>
              <a:cubicBezTo>
                <a:pt x="5657850" y="498475"/>
                <a:pt x="5665675" y="512650"/>
                <a:pt x="5676900" y="523875"/>
              </a:cubicBezTo>
              <a:cubicBezTo>
                <a:pt x="5684995" y="531970"/>
                <a:pt x="5698146" y="534131"/>
                <a:pt x="5705475" y="542925"/>
              </a:cubicBezTo>
              <a:cubicBezTo>
                <a:pt x="5714565" y="553833"/>
                <a:pt x="5717480" y="568697"/>
                <a:pt x="5724525" y="581025"/>
              </a:cubicBezTo>
              <a:cubicBezTo>
                <a:pt x="5730205" y="590964"/>
                <a:pt x="5737895" y="599661"/>
                <a:pt x="5743575" y="609600"/>
              </a:cubicBezTo>
              <a:cubicBezTo>
                <a:pt x="5750620" y="621928"/>
                <a:pt x="5755580" y="635372"/>
                <a:pt x="5762625" y="647700"/>
              </a:cubicBezTo>
              <a:cubicBezTo>
                <a:pt x="5768305" y="657639"/>
                <a:pt x="5776555" y="666036"/>
                <a:pt x="5781675" y="676275"/>
              </a:cubicBezTo>
              <a:cubicBezTo>
                <a:pt x="5786165" y="685255"/>
                <a:pt x="5786710" y="695870"/>
                <a:pt x="5791200" y="704850"/>
              </a:cubicBezTo>
              <a:cubicBezTo>
                <a:pt x="5796320" y="715089"/>
                <a:pt x="5805130" y="723186"/>
                <a:pt x="5810250" y="733425"/>
              </a:cubicBezTo>
              <a:cubicBezTo>
                <a:pt x="5814740" y="742405"/>
                <a:pt x="5815820" y="752772"/>
                <a:pt x="5819775" y="762000"/>
              </a:cubicBezTo>
              <a:cubicBezTo>
                <a:pt x="5825368" y="775051"/>
                <a:pt x="5833552" y="786917"/>
                <a:pt x="5838825" y="800100"/>
              </a:cubicBezTo>
              <a:cubicBezTo>
                <a:pt x="5846283" y="818744"/>
                <a:pt x="5846736" y="840542"/>
                <a:pt x="5857875" y="857250"/>
              </a:cubicBezTo>
              <a:cubicBezTo>
                <a:pt x="5864225" y="866775"/>
                <a:pt x="5871805" y="875586"/>
                <a:pt x="5876925" y="885825"/>
              </a:cubicBezTo>
              <a:cubicBezTo>
                <a:pt x="5888439" y="908852"/>
                <a:pt x="5886820" y="928085"/>
                <a:pt x="5895975" y="952500"/>
              </a:cubicBezTo>
              <a:cubicBezTo>
                <a:pt x="5900961" y="965795"/>
                <a:pt x="5908675" y="977900"/>
                <a:pt x="5915025" y="990600"/>
              </a:cubicBezTo>
              <a:cubicBezTo>
                <a:pt x="5934975" y="1130248"/>
                <a:pt x="5936011" y="1109649"/>
                <a:pt x="5915025" y="1333500"/>
              </a:cubicBezTo>
              <a:cubicBezTo>
                <a:pt x="5913653" y="1348133"/>
                <a:pt x="5874476" y="1383574"/>
                <a:pt x="5867400" y="1390650"/>
              </a:cubicBezTo>
              <a:cubicBezTo>
                <a:pt x="5859653" y="1413891"/>
                <a:pt x="5857289" y="1429336"/>
                <a:pt x="5838825" y="1447800"/>
              </a:cubicBezTo>
              <a:cubicBezTo>
                <a:pt x="5830730" y="1455895"/>
                <a:pt x="5819775" y="1460500"/>
                <a:pt x="5810250" y="1466850"/>
              </a:cubicBezTo>
              <a:cubicBezTo>
                <a:pt x="5767645" y="1530757"/>
                <a:pt x="5817834" y="1468144"/>
                <a:pt x="5762625" y="1504950"/>
              </a:cubicBezTo>
              <a:cubicBezTo>
                <a:pt x="5751417" y="1512422"/>
                <a:pt x="5744398" y="1524901"/>
                <a:pt x="5734050" y="1533525"/>
              </a:cubicBezTo>
              <a:cubicBezTo>
                <a:pt x="5725256" y="1540854"/>
                <a:pt x="5715000" y="1546225"/>
                <a:pt x="5705475" y="1552575"/>
              </a:cubicBezTo>
              <a:cubicBezTo>
                <a:pt x="5673362" y="1600745"/>
                <a:pt x="5703858" y="1567671"/>
                <a:pt x="5657850" y="1590675"/>
              </a:cubicBezTo>
              <a:cubicBezTo>
                <a:pt x="5647611" y="1595795"/>
                <a:pt x="5639736" y="1605076"/>
                <a:pt x="5629275" y="1609725"/>
              </a:cubicBezTo>
              <a:cubicBezTo>
                <a:pt x="5610925" y="1617880"/>
                <a:pt x="5572125" y="1628775"/>
                <a:pt x="5572125" y="1628775"/>
              </a:cubicBezTo>
              <a:cubicBezTo>
                <a:pt x="5562600" y="1635125"/>
                <a:pt x="5554072" y="1643316"/>
                <a:pt x="5543550" y="1647825"/>
              </a:cubicBezTo>
              <a:cubicBezTo>
                <a:pt x="5505031" y="1664333"/>
                <a:pt x="5392827" y="1666013"/>
                <a:pt x="5381625" y="1666875"/>
              </a:cubicBezTo>
              <a:cubicBezTo>
                <a:pt x="5292725" y="1663700"/>
                <a:pt x="5203708" y="1662899"/>
                <a:pt x="5114925" y="1657350"/>
              </a:cubicBezTo>
              <a:cubicBezTo>
                <a:pt x="5101860" y="1656533"/>
                <a:pt x="5089801" y="1649555"/>
                <a:pt x="5076825" y="1647825"/>
              </a:cubicBezTo>
              <a:cubicBezTo>
                <a:pt x="5042064" y="1643190"/>
                <a:pt x="5006975" y="1641475"/>
                <a:pt x="4972050" y="1638300"/>
              </a:cubicBezTo>
              <a:cubicBezTo>
                <a:pt x="4883150" y="1641475"/>
                <a:pt x="4793893" y="1639256"/>
                <a:pt x="4705350" y="1647825"/>
              </a:cubicBezTo>
              <a:cubicBezTo>
                <a:pt x="4693956" y="1648928"/>
                <a:pt x="4687014" y="1661755"/>
                <a:pt x="4676775" y="1666875"/>
              </a:cubicBezTo>
              <a:cubicBezTo>
                <a:pt x="4667795" y="1671365"/>
                <a:pt x="4657725" y="1673225"/>
                <a:pt x="4648200" y="1676400"/>
              </a:cubicBezTo>
              <a:cubicBezTo>
                <a:pt x="4638675" y="1682750"/>
                <a:pt x="4628419" y="1688121"/>
                <a:pt x="4619625" y="1695450"/>
              </a:cubicBezTo>
              <a:cubicBezTo>
                <a:pt x="4546286" y="1756566"/>
                <a:pt x="4633421" y="1695777"/>
                <a:pt x="4562475" y="1743075"/>
              </a:cubicBezTo>
              <a:cubicBezTo>
                <a:pt x="4544259" y="1797724"/>
                <a:pt x="4565995" y="1746713"/>
                <a:pt x="4524375" y="1800225"/>
              </a:cubicBezTo>
              <a:lnTo>
                <a:pt x="4467225" y="1885950"/>
              </a:lnTo>
              <a:cubicBezTo>
                <a:pt x="4460875" y="1895475"/>
                <a:pt x="4451795" y="1903665"/>
                <a:pt x="4448175" y="1914525"/>
              </a:cubicBezTo>
              <a:cubicBezTo>
                <a:pt x="4402904" y="2050338"/>
                <a:pt x="4448390" y="1909008"/>
                <a:pt x="4419600" y="2009775"/>
              </a:cubicBezTo>
              <a:cubicBezTo>
                <a:pt x="4416842" y="2019429"/>
                <a:pt x="4412833" y="2028696"/>
                <a:pt x="4410075" y="2038350"/>
              </a:cubicBezTo>
              <a:cubicBezTo>
                <a:pt x="4406479" y="2050937"/>
                <a:pt x="4404312" y="2063911"/>
                <a:pt x="4400550" y="2076450"/>
              </a:cubicBezTo>
              <a:lnTo>
                <a:pt x="4371975" y="2162175"/>
              </a:lnTo>
              <a:lnTo>
                <a:pt x="4343400" y="2247900"/>
              </a:lnTo>
              <a:cubicBezTo>
                <a:pt x="4339780" y="2258760"/>
                <a:pt x="4330700" y="2266950"/>
                <a:pt x="4324350" y="2276475"/>
              </a:cubicBezTo>
              <a:cubicBezTo>
                <a:pt x="4304205" y="2357056"/>
                <a:pt x="4331648" y="2275053"/>
                <a:pt x="4286250" y="2343150"/>
              </a:cubicBezTo>
              <a:cubicBezTo>
                <a:pt x="4280681" y="2351504"/>
                <a:pt x="4281601" y="2362948"/>
                <a:pt x="4276725" y="2371725"/>
              </a:cubicBezTo>
              <a:cubicBezTo>
                <a:pt x="4244041" y="2430556"/>
                <a:pt x="4251792" y="2420097"/>
                <a:pt x="4210050" y="2447925"/>
              </a:cubicBezTo>
              <a:lnTo>
                <a:pt x="4171950" y="2505075"/>
              </a:lnTo>
              <a:cubicBezTo>
                <a:pt x="4163144" y="2518284"/>
                <a:pt x="4145075" y="2522425"/>
                <a:pt x="4133850" y="2533650"/>
              </a:cubicBezTo>
              <a:cubicBezTo>
                <a:pt x="4125755" y="2541745"/>
                <a:pt x="4122129" y="2553431"/>
                <a:pt x="4114800" y="2562225"/>
              </a:cubicBezTo>
              <a:cubicBezTo>
                <a:pt x="4106176" y="2572573"/>
                <a:pt x="4094849" y="2580452"/>
                <a:pt x="4086225" y="2590800"/>
              </a:cubicBezTo>
              <a:cubicBezTo>
                <a:pt x="4028252" y="2660367"/>
                <a:pt x="4115808" y="2571688"/>
                <a:pt x="4038600" y="2657475"/>
              </a:cubicBezTo>
              <a:cubicBezTo>
                <a:pt x="3989666" y="2711846"/>
                <a:pt x="3996935" y="2704302"/>
                <a:pt x="3952875" y="2733675"/>
              </a:cubicBezTo>
              <a:cubicBezTo>
                <a:pt x="3917676" y="2786473"/>
                <a:pt x="3953964" y="2744712"/>
                <a:pt x="3905250" y="2771775"/>
              </a:cubicBezTo>
              <a:cubicBezTo>
                <a:pt x="3698826" y="2886455"/>
                <a:pt x="4083614" y="2804398"/>
                <a:pt x="3438525" y="2819400"/>
              </a:cubicBezTo>
              <a:cubicBezTo>
                <a:pt x="3425825" y="2822575"/>
                <a:pt x="3413305" y="2826583"/>
                <a:pt x="3400425" y="2828925"/>
              </a:cubicBezTo>
              <a:cubicBezTo>
                <a:pt x="3378336" y="2832941"/>
                <a:pt x="3355410" y="2832543"/>
                <a:pt x="3333750" y="2838450"/>
              </a:cubicBezTo>
              <a:cubicBezTo>
                <a:pt x="3320051" y="2842186"/>
                <a:pt x="3308945" y="2852514"/>
                <a:pt x="3295650" y="2857500"/>
              </a:cubicBezTo>
              <a:cubicBezTo>
                <a:pt x="3171818" y="2903937"/>
                <a:pt x="3360014" y="2819369"/>
                <a:pt x="3209925" y="2886075"/>
              </a:cubicBezTo>
              <a:cubicBezTo>
                <a:pt x="3196950" y="2891842"/>
                <a:pt x="3184153" y="2898080"/>
                <a:pt x="3171825" y="2905125"/>
              </a:cubicBezTo>
              <a:cubicBezTo>
                <a:pt x="3161886" y="2910805"/>
                <a:pt x="3153489" y="2919055"/>
                <a:pt x="3143250" y="2924175"/>
              </a:cubicBezTo>
              <a:cubicBezTo>
                <a:pt x="3134270" y="2928665"/>
                <a:pt x="3124200" y="2930525"/>
                <a:pt x="3114675" y="2933700"/>
              </a:cubicBezTo>
              <a:cubicBezTo>
                <a:pt x="3105150" y="2940050"/>
                <a:pt x="3096039" y="2947070"/>
                <a:pt x="3086100" y="2952750"/>
              </a:cubicBezTo>
              <a:cubicBezTo>
                <a:pt x="3073772" y="2959795"/>
                <a:pt x="3058908" y="2962710"/>
                <a:pt x="3048000" y="2971800"/>
              </a:cubicBezTo>
              <a:cubicBezTo>
                <a:pt x="3039206" y="2979129"/>
                <a:pt x="3037565" y="2992837"/>
                <a:pt x="3028950" y="3000375"/>
              </a:cubicBezTo>
              <a:cubicBezTo>
                <a:pt x="3011720" y="3015452"/>
                <a:pt x="2990850" y="3025775"/>
                <a:pt x="2971800" y="3038475"/>
              </a:cubicBezTo>
              <a:cubicBezTo>
                <a:pt x="2960592" y="3045947"/>
                <a:pt x="2953573" y="3058426"/>
                <a:pt x="2943225" y="3067050"/>
              </a:cubicBezTo>
              <a:cubicBezTo>
                <a:pt x="2934431" y="3074379"/>
                <a:pt x="2923444" y="3078771"/>
                <a:pt x="2914650" y="3086100"/>
              </a:cubicBezTo>
              <a:cubicBezTo>
                <a:pt x="2904302" y="3094724"/>
                <a:pt x="2896423" y="3106051"/>
                <a:pt x="2886075" y="3114675"/>
              </a:cubicBezTo>
              <a:cubicBezTo>
                <a:pt x="2877281" y="3122004"/>
                <a:pt x="2866056" y="3126120"/>
                <a:pt x="2857500" y="3133725"/>
              </a:cubicBezTo>
              <a:cubicBezTo>
                <a:pt x="2837364" y="3151623"/>
                <a:pt x="2819400" y="3171825"/>
                <a:pt x="2800350" y="3190875"/>
              </a:cubicBezTo>
              <a:cubicBezTo>
                <a:pt x="2790310" y="3200915"/>
                <a:pt x="2773804" y="3201672"/>
                <a:pt x="2762250" y="3209925"/>
              </a:cubicBezTo>
              <a:cubicBezTo>
                <a:pt x="2751289" y="3217755"/>
                <a:pt x="2744308" y="3230230"/>
                <a:pt x="2733675" y="3238500"/>
              </a:cubicBezTo>
              <a:cubicBezTo>
                <a:pt x="2715603" y="3252556"/>
                <a:pt x="2695575" y="3263900"/>
                <a:pt x="2676525" y="3276600"/>
              </a:cubicBezTo>
              <a:cubicBezTo>
                <a:pt x="2588361" y="3335376"/>
                <a:pt x="2699184" y="3275180"/>
                <a:pt x="2628900" y="3333750"/>
              </a:cubicBezTo>
              <a:cubicBezTo>
                <a:pt x="2617992" y="3342840"/>
                <a:pt x="2602354" y="3344547"/>
                <a:pt x="2590800" y="3352800"/>
              </a:cubicBezTo>
              <a:cubicBezTo>
                <a:pt x="2528370" y="3397393"/>
                <a:pt x="2594947" y="3370468"/>
                <a:pt x="2533650" y="3390900"/>
              </a:cubicBezTo>
              <a:cubicBezTo>
                <a:pt x="2524125" y="3397250"/>
                <a:pt x="2515014" y="3404270"/>
                <a:pt x="2505075" y="3409950"/>
              </a:cubicBezTo>
              <a:cubicBezTo>
                <a:pt x="2484338" y="3421800"/>
                <a:pt x="2440836" y="3441604"/>
                <a:pt x="2419350" y="3448050"/>
              </a:cubicBezTo>
              <a:cubicBezTo>
                <a:pt x="2403843" y="3452702"/>
                <a:pt x="2387600" y="3454400"/>
                <a:pt x="2371725" y="3457575"/>
              </a:cubicBezTo>
              <a:cubicBezTo>
                <a:pt x="2362200" y="3463925"/>
                <a:pt x="2353672" y="3472116"/>
                <a:pt x="2343150" y="3476625"/>
              </a:cubicBezTo>
              <a:cubicBezTo>
                <a:pt x="2331118" y="3481782"/>
                <a:pt x="2318082" y="3484909"/>
                <a:pt x="2305050" y="3486150"/>
              </a:cubicBezTo>
              <a:cubicBezTo>
                <a:pt x="2251225" y="3491276"/>
                <a:pt x="2197100" y="3492500"/>
                <a:pt x="2143125" y="3495675"/>
              </a:cubicBezTo>
              <a:cubicBezTo>
                <a:pt x="2130425" y="3498850"/>
                <a:pt x="2118116" y="3505200"/>
                <a:pt x="2105025" y="3505200"/>
              </a:cubicBezTo>
              <a:cubicBezTo>
                <a:pt x="19909" y="3505200"/>
                <a:pt x="2448881" y="3480899"/>
                <a:pt x="504825" y="3505200"/>
              </a:cubicBezTo>
              <a:cubicBezTo>
                <a:pt x="419100" y="3502025"/>
                <a:pt x="332572" y="3507807"/>
                <a:pt x="247650" y="3495675"/>
              </a:cubicBezTo>
              <a:cubicBezTo>
                <a:pt x="219537" y="3491659"/>
                <a:pt x="197817" y="3468122"/>
                <a:pt x="171450" y="3457575"/>
              </a:cubicBezTo>
              <a:cubicBezTo>
                <a:pt x="155575" y="3451225"/>
                <a:pt x="139118" y="3446171"/>
                <a:pt x="123825" y="3438525"/>
              </a:cubicBezTo>
              <a:cubicBezTo>
                <a:pt x="113586" y="3433405"/>
                <a:pt x="103806" y="3427080"/>
                <a:pt x="95250" y="3419475"/>
              </a:cubicBezTo>
              <a:cubicBezTo>
                <a:pt x="72530" y="3399280"/>
                <a:pt x="34974" y="3365599"/>
                <a:pt x="19050" y="3333750"/>
              </a:cubicBezTo>
              <a:cubicBezTo>
                <a:pt x="12218" y="3320085"/>
                <a:pt x="3052" y="3279282"/>
                <a:pt x="0" y="3267075"/>
              </a:cubicBezTo>
              <a:cubicBezTo>
                <a:pt x="3175" y="3241675"/>
                <a:pt x="6845" y="3216332"/>
                <a:pt x="9525" y="3190875"/>
              </a:cubicBezTo>
              <a:cubicBezTo>
                <a:pt x="13196" y="3155999"/>
                <a:pt x="12956" y="3120635"/>
                <a:pt x="19050" y="3086100"/>
              </a:cubicBezTo>
              <a:cubicBezTo>
                <a:pt x="27823" y="3036387"/>
                <a:pt x="14288" y="3054350"/>
                <a:pt x="19050" y="3038475"/>
              </a:cubicBezTo>
              <a:close/>
            </a:path>
          </a:pathLst>
        </a:cu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190500</xdr:colOff>
      <xdr:row>25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905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19050</xdr:colOff>
      <xdr:row>21</xdr:row>
      <xdr:rowOff>85725</xdr:rowOff>
    </xdr:from>
    <xdr:to>
      <xdr:col>1</xdr:col>
      <xdr:colOff>234131</xdr:colOff>
      <xdr:row>22</xdr:row>
      <xdr:rowOff>112354</xdr:rowOff>
    </xdr:to>
    <xdr:sp macro="" textlink="">
      <xdr:nvSpPr>
        <xdr:cNvPr id="419" name="Oval 418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/>
      </xdr:nvSpPr>
      <xdr:spPr>
        <a:xfrm>
          <a:off x="419100" y="39624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10</a:t>
          </a:r>
          <a:endParaRPr lang="en-US" sz="600"/>
        </a:p>
      </xdr:txBody>
    </xdr:sp>
    <xdr:clientData/>
  </xdr:twoCellAnchor>
  <xdr:twoCellAnchor>
    <xdr:from>
      <xdr:col>4</xdr:col>
      <xdr:colOff>409575</xdr:colOff>
      <xdr:row>12</xdr:row>
      <xdr:rowOff>95250</xdr:rowOff>
    </xdr:from>
    <xdr:to>
      <xdr:col>5</xdr:col>
      <xdr:colOff>15056</xdr:colOff>
      <xdr:row>13</xdr:row>
      <xdr:rowOff>121879</xdr:rowOff>
    </xdr:to>
    <xdr:sp macro="" textlink="">
      <xdr:nvSpPr>
        <xdr:cNvPr id="420" name="Oval 41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/>
      </xdr:nvSpPr>
      <xdr:spPr>
        <a:xfrm>
          <a:off x="2209800" y="21907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12</a:t>
          </a:r>
          <a:endParaRPr lang="en-US" sz="600"/>
        </a:p>
      </xdr:txBody>
    </xdr:sp>
    <xdr:clientData/>
  </xdr:twoCellAnchor>
  <xdr:twoCellAnchor>
    <xdr:from>
      <xdr:col>5</xdr:col>
      <xdr:colOff>247650</xdr:colOff>
      <xdr:row>21</xdr:row>
      <xdr:rowOff>85725</xdr:rowOff>
    </xdr:from>
    <xdr:to>
      <xdr:col>5</xdr:col>
      <xdr:colOff>462731</xdr:colOff>
      <xdr:row>22</xdr:row>
      <xdr:rowOff>112354</xdr:rowOff>
    </xdr:to>
    <xdr:sp macro="" textlink="">
      <xdr:nvSpPr>
        <xdr:cNvPr id="421" name="Oval 420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/>
      </xdr:nvSpPr>
      <xdr:spPr>
        <a:xfrm>
          <a:off x="2657475" y="39624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13</a:t>
          </a:r>
          <a:endParaRPr lang="en-US" sz="600"/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215081</xdr:colOff>
      <xdr:row>25</xdr:row>
      <xdr:rowOff>26629</xdr:rowOff>
    </xdr:to>
    <xdr:sp macro="" textlink="">
      <xdr:nvSpPr>
        <xdr:cNvPr id="422" name="Oval 421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/>
      </xdr:nvSpPr>
      <xdr:spPr>
        <a:xfrm>
          <a:off x="1800225" y="44481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14</a:t>
          </a:r>
          <a:endParaRPr lang="en-US" sz="600"/>
        </a:p>
      </xdr:txBody>
    </xdr:sp>
    <xdr:clientData/>
  </xdr:twoCellAnchor>
  <xdr:twoCellAnchor>
    <xdr:from>
      <xdr:col>7</xdr:col>
      <xdr:colOff>542925</xdr:colOff>
      <xdr:row>27</xdr:row>
      <xdr:rowOff>0</xdr:rowOff>
    </xdr:from>
    <xdr:to>
      <xdr:col>8</xdr:col>
      <xdr:colOff>148406</xdr:colOff>
      <xdr:row>28</xdr:row>
      <xdr:rowOff>26629</xdr:rowOff>
    </xdr:to>
    <xdr:sp macro="" textlink="">
      <xdr:nvSpPr>
        <xdr:cNvPr id="423" name="Oval 422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/>
      </xdr:nvSpPr>
      <xdr:spPr>
        <a:xfrm>
          <a:off x="4648200" y="50196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15</a:t>
          </a:r>
          <a:endParaRPr lang="en-US" sz="600"/>
        </a:p>
      </xdr:txBody>
    </xdr:sp>
    <xdr:clientData/>
  </xdr:twoCellAnchor>
  <xdr:twoCellAnchor>
    <xdr:from>
      <xdr:col>4</xdr:col>
      <xdr:colOff>542925</xdr:colOff>
      <xdr:row>26</xdr:row>
      <xdr:rowOff>104775</xdr:rowOff>
    </xdr:from>
    <xdr:to>
      <xdr:col>5</xdr:col>
      <xdr:colOff>148406</xdr:colOff>
      <xdr:row>27</xdr:row>
      <xdr:rowOff>131404</xdr:rowOff>
    </xdr:to>
    <xdr:sp macro="" textlink="">
      <xdr:nvSpPr>
        <xdr:cNvPr id="428" name="Oval 427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/>
      </xdr:nvSpPr>
      <xdr:spPr>
        <a:xfrm>
          <a:off x="2343150" y="49339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16</a:t>
          </a:r>
          <a:endParaRPr lang="en-US" sz="600"/>
        </a:p>
      </xdr:txBody>
    </xdr:sp>
    <xdr:clientData/>
  </xdr:twoCellAnchor>
  <xdr:twoCellAnchor>
    <xdr:from>
      <xdr:col>4</xdr:col>
      <xdr:colOff>438150</xdr:colOff>
      <xdr:row>31</xdr:row>
      <xdr:rowOff>123825</xdr:rowOff>
    </xdr:from>
    <xdr:to>
      <xdr:col>5</xdr:col>
      <xdr:colOff>43631</xdr:colOff>
      <xdr:row>32</xdr:row>
      <xdr:rowOff>150454</xdr:rowOff>
    </xdr:to>
    <xdr:sp macro="" textlink="">
      <xdr:nvSpPr>
        <xdr:cNvPr id="430" name="Oval 42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/>
      </xdr:nvSpPr>
      <xdr:spPr>
        <a:xfrm>
          <a:off x="2238375" y="59055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17</a:t>
          </a:r>
          <a:endParaRPr lang="en-US" sz="600"/>
        </a:p>
      </xdr:txBody>
    </xdr:sp>
    <xdr:clientData/>
  </xdr:twoCellAnchor>
  <xdr:twoCellAnchor>
    <xdr:from>
      <xdr:col>8</xdr:col>
      <xdr:colOff>476250</xdr:colOff>
      <xdr:row>7</xdr:row>
      <xdr:rowOff>47625</xdr:rowOff>
    </xdr:from>
    <xdr:to>
      <xdr:col>9</xdr:col>
      <xdr:colOff>15056</xdr:colOff>
      <xdr:row>8</xdr:row>
      <xdr:rowOff>74254</xdr:rowOff>
    </xdr:to>
    <xdr:sp macro="" textlink="">
      <xdr:nvSpPr>
        <xdr:cNvPr id="432" name="Oval 431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/>
      </xdr:nvSpPr>
      <xdr:spPr>
        <a:xfrm>
          <a:off x="4714875" y="119062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21</a:t>
          </a:r>
          <a:endParaRPr lang="en-US" sz="600"/>
        </a:p>
      </xdr:txBody>
    </xdr:sp>
    <xdr:clientData/>
  </xdr:twoCellAnchor>
  <xdr:twoCellAnchor>
    <xdr:from>
      <xdr:col>11</xdr:col>
      <xdr:colOff>295275</xdr:colOff>
      <xdr:row>5</xdr:row>
      <xdr:rowOff>142875</xdr:rowOff>
    </xdr:from>
    <xdr:to>
      <xdr:col>11</xdr:col>
      <xdr:colOff>510356</xdr:colOff>
      <xdr:row>6</xdr:row>
      <xdr:rowOff>169504</xdr:rowOff>
    </xdr:to>
    <xdr:sp macro="" textlink="">
      <xdr:nvSpPr>
        <xdr:cNvPr id="433" name="Oval 432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/>
      </xdr:nvSpPr>
      <xdr:spPr>
        <a:xfrm>
          <a:off x="6496050" y="9048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22</a:t>
          </a:r>
          <a:endParaRPr lang="en-US" sz="600"/>
        </a:p>
      </xdr:txBody>
    </xdr:sp>
    <xdr:clientData/>
  </xdr:twoCellAnchor>
  <xdr:twoCellAnchor>
    <xdr:from>
      <xdr:col>10</xdr:col>
      <xdr:colOff>28575</xdr:colOff>
      <xdr:row>10</xdr:row>
      <xdr:rowOff>171450</xdr:rowOff>
    </xdr:from>
    <xdr:to>
      <xdr:col>10</xdr:col>
      <xdr:colOff>243656</xdr:colOff>
      <xdr:row>12</xdr:row>
      <xdr:rowOff>7579</xdr:rowOff>
    </xdr:to>
    <xdr:sp macro="" textlink="">
      <xdr:nvSpPr>
        <xdr:cNvPr id="434" name="Oval 433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/>
      </xdr:nvSpPr>
      <xdr:spPr>
        <a:xfrm>
          <a:off x="5619750" y="188595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23</a:t>
          </a:r>
          <a:endParaRPr lang="en-US" sz="600"/>
        </a:p>
      </xdr:txBody>
    </xdr:sp>
    <xdr:clientData/>
  </xdr:twoCellAnchor>
  <xdr:twoCellAnchor>
    <xdr:from>
      <xdr:col>13</xdr:col>
      <xdr:colOff>400050</xdr:colOff>
      <xdr:row>7</xdr:row>
      <xdr:rowOff>104775</xdr:rowOff>
    </xdr:from>
    <xdr:to>
      <xdr:col>14</xdr:col>
      <xdr:colOff>5531</xdr:colOff>
      <xdr:row>8</xdr:row>
      <xdr:rowOff>131404</xdr:rowOff>
    </xdr:to>
    <xdr:sp macro="" textlink="">
      <xdr:nvSpPr>
        <xdr:cNvPr id="435" name="Oval 434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/>
      </xdr:nvSpPr>
      <xdr:spPr>
        <a:xfrm>
          <a:off x="7934325" y="124777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24</a:t>
          </a:r>
          <a:endParaRPr lang="en-US" sz="600"/>
        </a:p>
      </xdr:txBody>
    </xdr:sp>
    <xdr:clientData/>
  </xdr:twoCellAnchor>
  <xdr:twoCellAnchor>
    <xdr:from>
      <xdr:col>14</xdr:col>
      <xdr:colOff>495300</xdr:colOff>
      <xdr:row>12</xdr:row>
      <xdr:rowOff>85725</xdr:rowOff>
    </xdr:from>
    <xdr:to>
      <xdr:col>15</xdr:col>
      <xdr:colOff>100781</xdr:colOff>
      <xdr:row>13</xdr:row>
      <xdr:rowOff>112354</xdr:rowOff>
    </xdr:to>
    <xdr:sp macro="" textlink="">
      <xdr:nvSpPr>
        <xdr:cNvPr id="436" name="Oval 435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/>
      </xdr:nvSpPr>
      <xdr:spPr>
        <a:xfrm>
          <a:off x="8639175" y="2181225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rIns="0" rtlCol="0" anchor="ctr" anchorCtr="1"/>
        <a:lstStyle/>
        <a:p>
          <a:pPr algn="l"/>
          <a:r>
            <a:rPr lang="en-US" sz="900"/>
            <a:t>25</a:t>
          </a:r>
          <a:endParaRPr lang="en-US" sz="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590551</xdr:colOff>
      <xdr:row>6</xdr:row>
      <xdr:rowOff>133350</xdr:rowOff>
    </xdr:from>
    <xdr:to>
      <xdr:col>17</xdr:col>
      <xdr:colOff>419100</xdr:colOff>
      <xdr:row>25</xdr:row>
      <xdr:rowOff>180975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GrpSpPr/>
      </xdr:nvGrpSpPr>
      <xdr:grpSpPr>
        <a:xfrm>
          <a:off x="9972676" y="1276350"/>
          <a:ext cx="438149" cy="3667125"/>
          <a:chOff x="8639176" y="1857375"/>
          <a:chExt cx="438149" cy="2748433"/>
        </a:xfrm>
      </xdr:grpSpPr>
      <xdr:grpSp>
        <xdr:nvGrpSpPr>
          <xdr:cNvPr id="9" name="Group 34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GrpSpPr>
            <a:grpSpLocks/>
          </xdr:cNvGrpSpPr>
        </xdr:nvGrpSpPr>
        <xdr:grpSpPr bwMode="auto">
          <a:xfrm>
            <a:off x="8687710" y="1948110"/>
            <a:ext cx="338504" cy="2657698"/>
            <a:chOff x="146" y="108"/>
            <a:chExt cx="45" cy="149"/>
          </a:xfrm>
        </xdr:grpSpPr>
        <xdr:grpSp>
          <xdr:nvGrpSpPr>
            <xdr:cNvPr id="11" name="Group 348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6" y="108"/>
              <a:ext cx="45" cy="149"/>
              <a:chOff x="146" y="108"/>
              <a:chExt cx="45" cy="149"/>
            </a:xfrm>
          </xdr:grpSpPr>
          <xdr:sp macro="" textlink="">
            <xdr:nvSpPr>
              <xdr:cNvPr id="15" name="Oval 349">
                <a:extLst>
                  <a:ext uri="{FF2B5EF4-FFF2-40B4-BE49-F238E27FC236}">
                    <a16:creationId xmlns:a16="http://schemas.microsoft.com/office/drawing/2014/main" id="{00000000-0008-0000-0600-00000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46" y="108"/>
                <a:ext cx="45" cy="11"/>
              </a:xfrm>
              <a:prstGeom prst="ellipse">
                <a:avLst/>
              </a:prstGeom>
              <a:gradFill rotWithShape="0">
                <a:gsLst>
                  <a:gs pos="0">
                    <a:srgbClr val="767676">
                      <a:gamma/>
                      <a:shade val="46275"/>
                      <a:invGamma/>
                    </a:srgbClr>
                  </a:gs>
                  <a:gs pos="50000">
                    <a:srgbClr val="FFFFFF"/>
                  </a:gs>
                  <a:gs pos="100000">
                    <a:srgbClr val="767676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Oval 350">
                <a:extLst>
                  <a:ext uri="{FF2B5EF4-FFF2-40B4-BE49-F238E27FC236}">
                    <a16:creationId xmlns:a16="http://schemas.microsoft.com/office/drawing/2014/main" id="{00000000-0008-0000-0600-00001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46" y="246"/>
                <a:ext cx="45" cy="11"/>
              </a:xfrm>
              <a:prstGeom prst="ellipse">
                <a:avLst/>
              </a:prstGeom>
              <a:gradFill rotWithShape="0">
                <a:gsLst>
                  <a:gs pos="0">
                    <a:srgbClr val="767676">
                      <a:gamma/>
                      <a:shade val="46275"/>
                      <a:invGamma/>
                    </a:srgbClr>
                  </a:gs>
                  <a:gs pos="50000">
                    <a:srgbClr val="FFFFFF"/>
                  </a:gs>
                  <a:gs pos="100000">
                    <a:srgbClr val="767676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Rectangle 351">
                <a:extLst>
                  <a:ext uri="{FF2B5EF4-FFF2-40B4-BE49-F238E27FC236}">
                    <a16:creationId xmlns:a16="http://schemas.microsoft.com/office/drawing/2014/main" id="{00000000-0008-0000-06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46" y="114"/>
                <a:ext cx="45" cy="137"/>
              </a:xfrm>
              <a:prstGeom prst="rect">
                <a:avLst/>
              </a:prstGeom>
              <a:gradFill rotWithShape="0">
                <a:gsLst>
                  <a:gs pos="0">
                    <a:srgbClr val="767676">
                      <a:gamma/>
                      <a:shade val="46275"/>
                      <a:invGamma/>
                    </a:srgbClr>
                  </a:gs>
                  <a:gs pos="50000">
                    <a:srgbClr val="FFFFFF"/>
                  </a:gs>
                  <a:gs pos="100000">
                    <a:srgbClr val="767676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2" name="Line 352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" y="130"/>
              <a:ext cx="4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" name="Line 353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" y="132"/>
              <a:ext cx="4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" name="Line 354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" y="135"/>
              <a:ext cx="4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" name="Group 356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>
            <a:grpSpLocks/>
          </xdr:cNvGrpSpPr>
        </xdr:nvGrpSpPr>
        <xdr:grpSpPr bwMode="auto">
          <a:xfrm>
            <a:off x="8639176" y="1857375"/>
            <a:ext cx="438149" cy="692886"/>
            <a:chOff x="7672" y="2399"/>
            <a:chExt cx="89" cy="168"/>
          </a:xfrm>
        </xdr:grpSpPr>
        <xdr:sp macro="" textlink="">
          <xdr:nvSpPr>
            <xdr:cNvPr id="5" name="Oval 357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672" y="2399"/>
              <a:ext cx="88" cy="45"/>
            </a:xfrm>
            <a:prstGeom prst="ellipse">
              <a:avLst/>
            </a:prstGeom>
            <a:gradFill rotWithShape="0">
              <a:gsLst>
                <a:gs pos="0">
                  <a:srgbClr val="FFFFFF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FF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6" name="Rectangle 358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672" y="2421"/>
              <a:ext cx="89" cy="131"/>
            </a:xfrm>
            <a:prstGeom prst="rect">
              <a:avLst/>
            </a:prstGeom>
            <a:gradFill rotWithShape="0">
              <a:gsLst>
                <a:gs pos="0">
                  <a:srgbClr val="FFFFFF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FF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" name="AutoShape 359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672" y="2552"/>
              <a:ext cx="89" cy="15"/>
            </a:xfrm>
            <a:custGeom>
              <a:avLst/>
              <a:gdLst>
                <a:gd name="G0" fmla="+- 2260 0 0"/>
                <a:gd name="G1" fmla="+- 21600 0 2260"/>
                <a:gd name="G2" fmla="*/ 2260 1 2"/>
                <a:gd name="G3" fmla="+- 21600 0 G2"/>
                <a:gd name="G4" fmla="+/ 2260 21600 2"/>
                <a:gd name="G5" fmla="+/ G1 0 2"/>
                <a:gd name="G6" fmla="*/ 21600 21600 2260"/>
                <a:gd name="G7" fmla="*/ G6 1 2"/>
                <a:gd name="G8" fmla="+- 21600 0 G7"/>
                <a:gd name="G9" fmla="*/ 21600 1 2"/>
                <a:gd name="G10" fmla="+- 2260 0 G9"/>
                <a:gd name="G11" fmla="?: G10 G8 0"/>
                <a:gd name="G12" fmla="?: G10 G7 21600"/>
                <a:gd name="T0" fmla="*/ 20470 w 21600"/>
                <a:gd name="T1" fmla="*/ 10800 h 21600"/>
                <a:gd name="T2" fmla="*/ 10800 w 21600"/>
                <a:gd name="T3" fmla="*/ 21600 h 21600"/>
                <a:gd name="T4" fmla="*/ 1130 w 21600"/>
                <a:gd name="T5" fmla="*/ 10800 h 21600"/>
                <a:gd name="T6" fmla="*/ 10800 w 21600"/>
                <a:gd name="T7" fmla="*/ 0 h 21600"/>
                <a:gd name="T8" fmla="*/ 2930 w 21600"/>
                <a:gd name="T9" fmla="*/ 2930 h 21600"/>
                <a:gd name="T10" fmla="*/ 18670 w 21600"/>
                <a:gd name="T11" fmla="*/ 18670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T8" t="T9" r="T10" b="T11"/>
              <a:pathLst>
                <a:path w="21600" h="21600">
                  <a:moveTo>
                    <a:pt x="0" y="0"/>
                  </a:moveTo>
                  <a:lnTo>
                    <a:pt x="2260" y="21600"/>
                  </a:lnTo>
                  <a:lnTo>
                    <a:pt x="19340" y="21600"/>
                  </a:lnTo>
                  <a:lnTo>
                    <a:pt x="21600" y="0"/>
                  </a:lnTo>
                  <a:close/>
                </a:path>
              </a:pathLst>
            </a:custGeom>
            <a:gradFill rotWithShape="0">
              <a:gsLst>
                <a:gs pos="0">
                  <a:srgbClr val="FFFFFF">
                    <a:gamma/>
                    <a:shade val="46275"/>
                    <a:invGamma/>
                  </a:srgbClr>
                </a:gs>
                <a:gs pos="50000">
                  <a:srgbClr val="FFFFFF"/>
                </a:gs>
                <a:gs pos="100000">
                  <a:srgbClr val="FF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12</xdr:col>
      <xdr:colOff>190500</xdr:colOff>
      <xdr:row>11</xdr:row>
      <xdr:rowOff>114299</xdr:rowOff>
    </xdr:from>
    <xdr:to>
      <xdr:col>12</xdr:col>
      <xdr:colOff>419100</xdr:colOff>
      <xdr:row>13</xdr:row>
      <xdr:rowOff>47625</xdr:rowOff>
    </xdr:to>
    <xdr:sp macro="" textlink="">
      <xdr:nvSpPr>
        <xdr:cNvPr id="23" name="AutoShape 2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 rot="5400000" flipH="1">
          <a:off x="6853237" y="2443162"/>
          <a:ext cx="314326" cy="228600"/>
        </a:xfrm>
        <a:custGeom>
          <a:avLst/>
          <a:gdLst>
            <a:gd name="G0" fmla="+- 4547 0 0"/>
            <a:gd name="G1" fmla="+- 21600 0 4547"/>
            <a:gd name="G2" fmla="*/ 4547 1 2"/>
            <a:gd name="G3" fmla="+- 21600 0 G2"/>
            <a:gd name="G4" fmla="+/ 4547 21600 2"/>
            <a:gd name="G5" fmla="+/ G1 0 2"/>
            <a:gd name="G6" fmla="*/ 21600 21600 4547"/>
            <a:gd name="G7" fmla="*/ G6 1 2"/>
            <a:gd name="G8" fmla="+- 21600 0 G7"/>
            <a:gd name="G9" fmla="*/ 21600 1 2"/>
            <a:gd name="G10" fmla="+- 4547 0 G9"/>
            <a:gd name="G11" fmla="?: G10 G8 0"/>
            <a:gd name="G12" fmla="?: G10 G7 21600"/>
            <a:gd name="T0" fmla="*/ 19326 w 21600"/>
            <a:gd name="T1" fmla="*/ 10800 h 21600"/>
            <a:gd name="T2" fmla="*/ 10800 w 21600"/>
            <a:gd name="T3" fmla="*/ 21600 h 21600"/>
            <a:gd name="T4" fmla="*/ 2274 w 21600"/>
            <a:gd name="T5" fmla="*/ 10800 h 21600"/>
            <a:gd name="T6" fmla="*/ 10800 w 21600"/>
            <a:gd name="T7" fmla="*/ 0 h 21600"/>
            <a:gd name="T8" fmla="*/ 4074 w 21600"/>
            <a:gd name="T9" fmla="*/ 4074 h 21600"/>
            <a:gd name="T10" fmla="*/ 17526 w 21600"/>
            <a:gd name="T11" fmla="*/ 17526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4547" y="21600"/>
              </a:lnTo>
              <a:lnTo>
                <a:pt x="17053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247649</xdr:colOff>
      <xdr:row>14</xdr:row>
      <xdr:rowOff>152400</xdr:rowOff>
    </xdr:from>
    <xdr:to>
      <xdr:col>12</xdr:col>
      <xdr:colOff>390524</xdr:colOff>
      <xdr:row>15</xdr:row>
      <xdr:rowOff>114300</xdr:rowOff>
    </xdr:to>
    <xdr:grpSp>
      <xdr:nvGrpSpPr>
        <xdr:cNvPr id="24" name="Group 9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pSpPr>
          <a:grpSpLocks/>
        </xdr:cNvGrpSpPr>
      </xdr:nvGrpSpPr>
      <xdr:grpSpPr bwMode="auto">
        <a:xfrm>
          <a:off x="7029449" y="2819400"/>
          <a:ext cx="142875" cy="152400"/>
          <a:chOff x="8751" y="1601"/>
          <a:chExt cx="38" cy="42"/>
        </a:xfrm>
      </xdr:grpSpPr>
      <xdr:sp macro="" textlink="">
        <xdr:nvSpPr>
          <xdr:cNvPr id="25" name="Rectangle 96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6" name="Group 97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30" name="AutoShape 98">
              <a:extLst>
                <a:ext uri="{FF2B5EF4-FFF2-40B4-BE49-F238E27FC236}">
                  <a16:creationId xmlns:a16="http://schemas.microsoft.com/office/drawing/2014/main" id="{00000000-0008-0000-0600-00001E00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1" name="Rectangle 99">
              <a:extLst>
                <a:ext uri="{FF2B5EF4-FFF2-40B4-BE49-F238E27FC236}">
                  <a16:creationId xmlns:a16="http://schemas.microsoft.com/office/drawing/2014/main" id="{00000000-0008-0000-0600-00001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2" name="Rectangle 100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27" name="Group 101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28" name="Rectangle 102">
              <a:extLst>
                <a:ext uri="{FF2B5EF4-FFF2-40B4-BE49-F238E27FC236}">
                  <a16:creationId xmlns:a16="http://schemas.microsoft.com/office/drawing/2014/main" id="{00000000-0008-0000-0600-00001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9" name="AutoShape 103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9</xdr:col>
      <xdr:colOff>498475</xdr:colOff>
      <xdr:row>14</xdr:row>
      <xdr:rowOff>180978</xdr:rowOff>
    </xdr:from>
    <xdr:to>
      <xdr:col>10</xdr:col>
      <xdr:colOff>142875</xdr:colOff>
      <xdr:row>17</xdr:row>
      <xdr:rowOff>79378</xdr:rowOff>
    </xdr:to>
    <xdr:grpSp>
      <xdr:nvGrpSpPr>
        <xdr:cNvPr id="41" name="Group 322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GrpSpPr>
          <a:grpSpLocks/>
        </xdr:cNvGrpSpPr>
      </xdr:nvGrpSpPr>
      <xdr:grpSpPr bwMode="auto">
        <a:xfrm rot="5400000">
          <a:off x="5295900" y="2955928"/>
          <a:ext cx="469900" cy="254000"/>
          <a:chOff x="2933" y="2069"/>
          <a:chExt cx="175" cy="59"/>
        </a:xfrm>
      </xdr:grpSpPr>
      <xdr:sp macro="" textlink="">
        <xdr:nvSpPr>
          <xdr:cNvPr id="42" name="Oval 323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3" name="Oval 324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4" name="Rectangle 325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428625</xdr:colOff>
      <xdr:row>15</xdr:row>
      <xdr:rowOff>76200</xdr:rowOff>
    </xdr:from>
    <xdr:to>
      <xdr:col>9</xdr:col>
      <xdr:colOff>66675</xdr:colOff>
      <xdr:row>16</xdr:row>
      <xdr:rowOff>171450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GrpSpPr/>
      </xdr:nvGrpSpPr>
      <xdr:grpSpPr>
        <a:xfrm>
          <a:off x="4657725" y="2933700"/>
          <a:ext cx="314325" cy="285750"/>
          <a:chOff x="609600" y="11658600"/>
          <a:chExt cx="566738" cy="561975"/>
        </a:xfrm>
      </xdr:grpSpPr>
      <xdr:sp macro="" textlink="">
        <xdr:nvSpPr>
          <xdr:cNvPr id="51" name="Oval 323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52" name="Straight Connector 51"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3" name="Straight Arrow Connector 52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14</xdr:col>
      <xdr:colOff>57149</xdr:colOff>
      <xdr:row>27</xdr:row>
      <xdr:rowOff>171450</xdr:rowOff>
    </xdr:from>
    <xdr:to>
      <xdr:col>14</xdr:col>
      <xdr:colOff>352424</xdr:colOff>
      <xdr:row>29</xdr:row>
      <xdr:rowOff>38100</xdr:rowOff>
    </xdr:to>
    <xdr:grpSp>
      <xdr:nvGrpSpPr>
        <xdr:cNvPr id="55" name="Group 179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 flipH="1">
          <a:off x="8134349" y="5314950"/>
          <a:ext cx="295275" cy="247650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56" name="AutoShape 180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-10800000">
            <a:off x="371" y="505"/>
            <a:ext cx="58" cy="11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57" name="Group 181"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58" name="Rectangle 182">
              <a:extLst>
                <a:ext uri="{FF2B5EF4-FFF2-40B4-BE49-F238E27FC236}">
                  <a16:creationId xmlns:a16="http://schemas.microsoft.com/office/drawing/2014/main" id="{00000000-0008-0000-0600-00003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59" name="Group 183">
              <a:extLst>
                <a:ext uri="{FF2B5EF4-FFF2-40B4-BE49-F238E27FC236}">
                  <a16:creationId xmlns:a16="http://schemas.microsoft.com/office/drawing/2014/main" id="{00000000-0008-0000-0600-00003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60" name="Oval 184">
                <a:extLst>
                  <a:ext uri="{FF2B5EF4-FFF2-40B4-BE49-F238E27FC236}">
                    <a16:creationId xmlns:a16="http://schemas.microsoft.com/office/drawing/2014/main" id="{00000000-0008-0000-06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" name="Oval 185">
                <a:extLst>
                  <a:ext uri="{FF2B5EF4-FFF2-40B4-BE49-F238E27FC236}">
                    <a16:creationId xmlns:a16="http://schemas.microsoft.com/office/drawing/2014/main" id="{00000000-0008-0000-06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12</xdr:col>
      <xdr:colOff>1</xdr:colOff>
      <xdr:row>6</xdr:row>
      <xdr:rowOff>171450</xdr:rowOff>
    </xdr:from>
    <xdr:to>
      <xdr:col>12</xdr:col>
      <xdr:colOff>285751</xdr:colOff>
      <xdr:row>8</xdr:row>
      <xdr:rowOff>76200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GrpSpPr/>
      </xdr:nvGrpSpPr>
      <xdr:grpSpPr>
        <a:xfrm>
          <a:off x="6781801" y="1314450"/>
          <a:ext cx="285750" cy="285750"/>
          <a:chOff x="1765300" y="11734800"/>
          <a:chExt cx="533401" cy="561975"/>
        </a:xfrm>
      </xdr:grpSpPr>
      <xdr:sp macro="" textlink="">
        <xdr:nvSpPr>
          <xdr:cNvPr id="64" name="Oval 323"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1765300" y="117348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65" name="Straight Connector 64"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CxnSpPr>
            <a:stCxn id="64" idx="0"/>
          </xdr:cNvCxnSpPr>
        </xdr:nvCxnSpPr>
        <xdr:spPr bwMode="auto">
          <a:xfrm flipH="1">
            <a:off x="2032000" y="11734800"/>
            <a:ext cx="1" cy="1492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6" name="Straight Connector 65"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CxnSpPr/>
        </xdr:nvCxnSpPr>
        <xdr:spPr bwMode="auto">
          <a:xfrm>
            <a:off x="2033588" y="11877675"/>
            <a:ext cx="125412" cy="571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CxnSpPr/>
        </xdr:nvCxnSpPr>
        <xdr:spPr bwMode="auto">
          <a:xfrm flipH="1">
            <a:off x="1919288" y="11934825"/>
            <a:ext cx="227012" cy="1762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8" name="Straight Connector 67"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CxnSpPr>
            <a:stCxn id="64" idx="4"/>
          </xdr:cNvCxnSpPr>
        </xdr:nvCxnSpPr>
        <xdr:spPr bwMode="auto">
          <a:xfrm flipH="1" flipV="1">
            <a:off x="2032000" y="12169775"/>
            <a:ext cx="1" cy="12700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9" name="Straight Connector 68"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CxnSpPr/>
        </xdr:nvCxnSpPr>
        <xdr:spPr bwMode="auto">
          <a:xfrm flipH="1" flipV="1">
            <a:off x="1905000" y="12109450"/>
            <a:ext cx="127000" cy="6032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</xdr:col>
      <xdr:colOff>457200</xdr:colOff>
      <xdr:row>12</xdr:row>
      <xdr:rowOff>0</xdr:rowOff>
    </xdr:from>
    <xdr:to>
      <xdr:col>6</xdr:col>
      <xdr:colOff>142875</xdr:colOff>
      <xdr:row>13</xdr:row>
      <xdr:rowOff>95250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GrpSpPr/>
      </xdr:nvGrpSpPr>
      <xdr:grpSpPr>
        <a:xfrm>
          <a:off x="2771775" y="2286000"/>
          <a:ext cx="295275" cy="285750"/>
          <a:chOff x="609600" y="11658600"/>
          <a:chExt cx="566738" cy="561975"/>
        </a:xfrm>
      </xdr:grpSpPr>
      <xdr:sp macro="" textlink="">
        <xdr:nvSpPr>
          <xdr:cNvPr id="71" name="Oval 323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72" name="Straight Connector 71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3" name="Straight Arrow Connector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4" name="Straight Connector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247650</xdr:colOff>
      <xdr:row>24</xdr:row>
      <xdr:rowOff>66675</xdr:rowOff>
    </xdr:from>
    <xdr:to>
      <xdr:col>4</xdr:col>
      <xdr:colOff>542925</xdr:colOff>
      <xdr:row>25</xdr:row>
      <xdr:rowOff>161925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GrpSpPr/>
      </xdr:nvGrpSpPr>
      <xdr:grpSpPr>
        <a:xfrm>
          <a:off x="1952625" y="4638675"/>
          <a:ext cx="295275" cy="285750"/>
          <a:chOff x="609600" y="11658600"/>
          <a:chExt cx="566738" cy="561975"/>
        </a:xfrm>
      </xdr:grpSpPr>
      <xdr:sp macro="" textlink="">
        <xdr:nvSpPr>
          <xdr:cNvPr id="76" name="Oval 323">
            <a:extLst>
              <a:ext uri="{FF2B5EF4-FFF2-40B4-BE49-F238E27FC236}">
                <a16:creationId xmlns:a16="http://schemas.microsoft.com/office/drawing/2014/main" id="{00000000-0008-0000-06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77" name="Straight Connector 76">
            <a:extLst>
              <a:ext uri="{FF2B5EF4-FFF2-40B4-BE49-F238E27FC236}">
                <a16:creationId xmlns:a16="http://schemas.microsoft.com/office/drawing/2014/main" id="{00000000-0008-0000-0600-00004D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8" name="Straight Arrow Connector 77">
            <a:extLst>
              <a:ext uri="{FF2B5EF4-FFF2-40B4-BE49-F238E27FC236}">
                <a16:creationId xmlns:a16="http://schemas.microsoft.com/office/drawing/2014/main" id="{00000000-0008-0000-0600-00004E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9" name="Straight Connector 78">
            <a:extLst>
              <a:ext uri="{FF2B5EF4-FFF2-40B4-BE49-F238E27FC236}">
                <a16:creationId xmlns:a16="http://schemas.microsoft.com/office/drawing/2014/main" id="{00000000-0008-0000-0600-00004F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14</xdr:col>
      <xdr:colOff>533400</xdr:colOff>
      <xdr:row>22</xdr:row>
      <xdr:rowOff>133350</xdr:rowOff>
    </xdr:from>
    <xdr:to>
      <xdr:col>15</xdr:col>
      <xdr:colOff>180975</xdr:colOff>
      <xdr:row>24</xdr:row>
      <xdr:rowOff>38100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GrpSpPr/>
      </xdr:nvGrpSpPr>
      <xdr:grpSpPr>
        <a:xfrm>
          <a:off x="8610600" y="4324350"/>
          <a:ext cx="342900" cy="285750"/>
          <a:chOff x="609600" y="11658600"/>
          <a:chExt cx="566738" cy="561975"/>
        </a:xfrm>
      </xdr:grpSpPr>
      <xdr:sp macro="" textlink="">
        <xdr:nvSpPr>
          <xdr:cNvPr id="81" name="Oval 323">
            <a:extLst>
              <a:ext uri="{FF2B5EF4-FFF2-40B4-BE49-F238E27FC236}">
                <a16:creationId xmlns:a16="http://schemas.microsoft.com/office/drawing/2014/main" id="{00000000-0008-0000-06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82" name="Straight Connector 81">
            <a:extLst>
              <a:ext uri="{FF2B5EF4-FFF2-40B4-BE49-F238E27FC236}">
                <a16:creationId xmlns:a16="http://schemas.microsoft.com/office/drawing/2014/main" id="{00000000-0008-0000-0600-000052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3" name="Straight Arrow Connector 82">
            <a:extLst>
              <a:ext uri="{FF2B5EF4-FFF2-40B4-BE49-F238E27FC236}">
                <a16:creationId xmlns:a16="http://schemas.microsoft.com/office/drawing/2014/main" id="{00000000-0008-0000-0600-000053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4" name="Straight Connector 83">
            <a:extLst>
              <a:ext uri="{FF2B5EF4-FFF2-40B4-BE49-F238E27FC236}">
                <a16:creationId xmlns:a16="http://schemas.microsoft.com/office/drawing/2014/main" id="{00000000-0008-0000-0600-000054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14</xdr:col>
      <xdr:colOff>542925</xdr:colOff>
      <xdr:row>19</xdr:row>
      <xdr:rowOff>66675</xdr:rowOff>
    </xdr:from>
    <xdr:to>
      <xdr:col>15</xdr:col>
      <xdr:colOff>190500</xdr:colOff>
      <xdr:row>20</xdr:row>
      <xdr:rowOff>161925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GrpSpPr/>
      </xdr:nvGrpSpPr>
      <xdr:grpSpPr>
        <a:xfrm>
          <a:off x="8620125" y="3686175"/>
          <a:ext cx="342900" cy="285750"/>
          <a:chOff x="609600" y="11658600"/>
          <a:chExt cx="566738" cy="561975"/>
        </a:xfrm>
      </xdr:grpSpPr>
      <xdr:sp macro="" textlink="">
        <xdr:nvSpPr>
          <xdr:cNvPr id="86" name="Oval 323">
            <a:extLst>
              <a:ext uri="{FF2B5EF4-FFF2-40B4-BE49-F238E27FC236}">
                <a16:creationId xmlns:a16="http://schemas.microsoft.com/office/drawing/2014/main" id="{00000000-0008-0000-06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87" name="Straight Connector 86">
            <a:extLst>
              <a:ext uri="{FF2B5EF4-FFF2-40B4-BE49-F238E27FC236}">
                <a16:creationId xmlns:a16="http://schemas.microsoft.com/office/drawing/2014/main" id="{00000000-0008-0000-0600-000057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8" name="Straight Arrow Connector 87">
            <a:extLst>
              <a:ext uri="{FF2B5EF4-FFF2-40B4-BE49-F238E27FC236}">
                <a16:creationId xmlns:a16="http://schemas.microsoft.com/office/drawing/2014/main" id="{00000000-0008-0000-0600-000058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9" name="Straight Connector 88">
            <a:extLst>
              <a:ext uri="{FF2B5EF4-FFF2-40B4-BE49-F238E27FC236}">
                <a16:creationId xmlns:a16="http://schemas.microsoft.com/office/drawing/2014/main" id="{00000000-0008-0000-0600-000059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3</xdr:col>
      <xdr:colOff>533400</xdr:colOff>
      <xdr:row>15</xdr:row>
      <xdr:rowOff>142875</xdr:rowOff>
    </xdr:from>
    <xdr:to>
      <xdr:col>4</xdr:col>
      <xdr:colOff>123825</xdr:colOff>
      <xdr:row>16</xdr:row>
      <xdr:rowOff>85725</xdr:rowOff>
    </xdr:to>
    <xdr:grpSp>
      <xdr:nvGrpSpPr>
        <xdr:cNvPr id="90" name="Group 322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GrpSpPr>
          <a:grpSpLocks/>
        </xdr:cNvGrpSpPr>
      </xdr:nvGrpSpPr>
      <xdr:grpSpPr bwMode="auto">
        <a:xfrm>
          <a:off x="1628775" y="3000375"/>
          <a:ext cx="200025" cy="133350"/>
          <a:chOff x="2933" y="2069"/>
          <a:chExt cx="175" cy="59"/>
        </a:xfrm>
      </xdr:grpSpPr>
      <xdr:sp macro="" textlink="">
        <xdr:nvSpPr>
          <xdr:cNvPr id="91" name="Oval 323">
            <a:extLst>
              <a:ext uri="{FF2B5EF4-FFF2-40B4-BE49-F238E27FC236}">
                <a16:creationId xmlns:a16="http://schemas.microsoft.com/office/drawing/2014/main" id="{00000000-0008-0000-06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2" name="Oval 324">
            <a:extLst>
              <a:ext uri="{FF2B5EF4-FFF2-40B4-BE49-F238E27FC236}">
                <a16:creationId xmlns:a16="http://schemas.microsoft.com/office/drawing/2014/main" id="{00000000-0008-0000-0600-00005C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3" name="Rectangle 325">
            <a:extLst>
              <a:ext uri="{FF2B5EF4-FFF2-40B4-BE49-F238E27FC236}">
                <a16:creationId xmlns:a16="http://schemas.microsoft.com/office/drawing/2014/main" id="{00000000-0008-0000-06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476250</xdr:colOff>
      <xdr:row>15</xdr:row>
      <xdr:rowOff>152400</xdr:rowOff>
    </xdr:from>
    <xdr:to>
      <xdr:col>8</xdr:col>
      <xdr:colOff>66675</xdr:colOff>
      <xdr:row>16</xdr:row>
      <xdr:rowOff>95250</xdr:rowOff>
    </xdr:to>
    <xdr:grpSp>
      <xdr:nvGrpSpPr>
        <xdr:cNvPr id="94" name="Group 322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GrpSpPr>
          <a:grpSpLocks/>
        </xdr:cNvGrpSpPr>
      </xdr:nvGrpSpPr>
      <xdr:grpSpPr bwMode="auto">
        <a:xfrm>
          <a:off x="4095750" y="3009900"/>
          <a:ext cx="200025" cy="133350"/>
          <a:chOff x="2933" y="2069"/>
          <a:chExt cx="175" cy="59"/>
        </a:xfrm>
      </xdr:grpSpPr>
      <xdr:sp macro="" textlink="">
        <xdr:nvSpPr>
          <xdr:cNvPr id="95" name="Oval 323">
            <a:extLst>
              <a:ext uri="{FF2B5EF4-FFF2-40B4-BE49-F238E27FC236}">
                <a16:creationId xmlns:a16="http://schemas.microsoft.com/office/drawing/2014/main" id="{00000000-0008-0000-0600-00005F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6" name="Oval 324">
            <a:extLst>
              <a:ext uri="{FF2B5EF4-FFF2-40B4-BE49-F238E27FC236}">
                <a16:creationId xmlns:a16="http://schemas.microsoft.com/office/drawing/2014/main" id="{00000000-0008-0000-06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7" name="Rectangle 325">
            <a:extLst>
              <a:ext uri="{FF2B5EF4-FFF2-40B4-BE49-F238E27FC236}">
                <a16:creationId xmlns:a16="http://schemas.microsoft.com/office/drawing/2014/main" id="{00000000-0008-0000-0600-000061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76200</xdr:colOff>
      <xdr:row>16</xdr:row>
      <xdr:rowOff>19050</xdr:rowOff>
    </xdr:from>
    <xdr:to>
      <xdr:col>3</xdr:col>
      <xdr:colOff>533400</xdr:colOff>
      <xdr:row>16</xdr:row>
      <xdr:rowOff>19050</xdr:rowOff>
    </xdr:to>
    <xdr:cxnSp macro="">
      <xdr:nvCxnSpPr>
        <xdr:cNvPr id="99" name="Straight Arrow Connector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CxnSpPr>
          <a:endCxn id="92" idx="2"/>
        </xdr:cNvCxnSpPr>
      </xdr:nvCxnSpPr>
      <xdr:spPr>
        <a:xfrm>
          <a:off x="1295400" y="3257550"/>
          <a:ext cx="457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12</xdr:row>
      <xdr:rowOff>142875</xdr:rowOff>
    </xdr:from>
    <xdr:to>
      <xdr:col>5</xdr:col>
      <xdr:colOff>457200</xdr:colOff>
      <xdr:row>16</xdr:row>
      <xdr:rowOff>19050</xdr:rowOff>
    </xdr:to>
    <xdr:cxnSp macro="">
      <xdr:nvCxnSpPr>
        <xdr:cNvPr id="102" name="Elbow Connector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CxnSpPr>
          <a:stCxn id="91" idx="6"/>
          <a:endCxn id="71" idx="2"/>
        </xdr:cNvCxnSpPr>
      </xdr:nvCxnSpPr>
      <xdr:spPr>
        <a:xfrm flipV="1">
          <a:off x="1952625" y="2619375"/>
          <a:ext cx="942975" cy="638175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23241</xdr:colOff>
      <xdr:row>16</xdr:row>
      <xdr:rowOff>85724</xdr:rowOff>
    </xdr:from>
    <xdr:to>
      <xdr:col>4</xdr:col>
      <xdr:colOff>247650</xdr:colOff>
      <xdr:row>25</xdr:row>
      <xdr:rowOff>19049</xdr:rowOff>
    </xdr:to>
    <xdr:cxnSp macro="">
      <xdr:nvCxnSpPr>
        <xdr:cNvPr id="104" name="Elbow Connector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CxnSpPr>
          <a:stCxn id="93" idx="2"/>
          <a:endCxn id="76" idx="2"/>
        </xdr:cNvCxnSpPr>
      </xdr:nvCxnSpPr>
      <xdr:spPr>
        <a:xfrm rot="16200000" flipH="1">
          <a:off x="1140333" y="4035932"/>
          <a:ext cx="1647825" cy="22440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575691</xdr:colOff>
      <xdr:row>16</xdr:row>
      <xdr:rowOff>95250</xdr:rowOff>
    </xdr:from>
    <xdr:to>
      <xdr:col>14</xdr:col>
      <xdr:colOff>542925</xdr:colOff>
      <xdr:row>20</xdr:row>
      <xdr:rowOff>19050</xdr:rowOff>
    </xdr:to>
    <xdr:cxnSp macro="">
      <xdr:nvCxnSpPr>
        <xdr:cNvPr id="110" name="Elbow Connector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CxnSpPr>
          <a:stCxn id="86" idx="2"/>
          <a:endCxn id="97" idx="2"/>
        </xdr:cNvCxnSpPr>
      </xdr:nvCxnSpPr>
      <xdr:spPr>
        <a:xfrm rot="10800000">
          <a:off x="4928616" y="3143250"/>
          <a:ext cx="4424934" cy="685800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125506</xdr:colOff>
      <xdr:row>12</xdr:row>
      <xdr:rowOff>142875</xdr:rowOff>
    </xdr:from>
    <xdr:to>
      <xdr:col>7</xdr:col>
      <xdr:colOff>575691</xdr:colOff>
      <xdr:row>15</xdr:row>
      <xdr:rowOff>152400</xdr:rowOff>
    </xdr:to>
    <xdr:cxnSp macro="">
      <xdr:nvCxnSpPr>
        <xdr:cNvPr id="112" name="Elbow Connector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CxnSpPr>
          <a:stCxn id="71" idx="6"/>
          <a:endCxn id="97" idx="0"/>
        </xdr:cNvCxnSpPr>
      </xdr:nvCxnSpPr>
      <xdr:spPr>
        <a:xfrm>
          <a:off x="3173506" y="2619375"/>
          <a:ext cx="1059785" cy="58102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16</xdr:row>
      <xdr:rowOff>28575</xdr:rowOff>
    </xdr:from>
    <xdr:to>
      <xdr:col>8</xdr:col>
      <xdr:colOff>428625</xdr:colOff>
      <xdr:row>16</xdr:row>
      <xdr:rowOff>28575</xdr:rowOff>
    </xdr:to>
    <xdr:cxnSp macro="">
      <xdr:nvCxnSpPr>
        <xdr:cNvPr id="114" name="Straight Arrow Connector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CxnSpPr>
          <a:stCxn id="95" idx="6"/>
          <a:endCxn id="51" idx="2"/>
        </xdr:cNvCxnSpPr>
      </xdr:nvCxnSpPr>
      <xdr:spPr>
        <a:xfrm>
          <a:off x="5029200" y="3076575"/>
          <a:ext cx="361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48186</xdr:colOff>
      <xdr:row>16</xdr:row>
      <xdr:rowOff>28575</xdr:rowOff>
    </xdr:from>
    <xdr:to>
      <xdr:col>9</xdr:col>
      <xdr:colOff>498475</xdr:colOff>
      <xdr:row>16</xdr:row>
      <xdr:rowOff>33586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CxnSpPr>
          <a:stCxn id="51" idx="6"/>
          <a:endCxn id="44" idx="2"/>
        </xdr:cNvCxnSpPr>
      </xdr:nvCxnSpPr>
      <xdr:spPr>
        <a:xfrm>
          <a:off x="5686986" y="3076575"/>
          <a:ext cx="450289" cy="501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13</xdr:row>
      <xdr:rowOff>133350</xdr:rowOff>
    </xdr:from>
    <xdr:to>
      <xdr:col>11</xdr:col>
      <xdr:colOff>323850</xdr:colOff>
      <xdr:row>14</xdr:row>
      <xdr:rowOff>76200</xdr:rowOff>
    </xdr:to>
    <xdr:grpSp>
      <xdr:nvGrpSpPr>
        <xdr:cNvPr id="124" name="Group 322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GrpSpPr>
          <a:grpSpLocks/>
        </xdr:cNvGrpSpPr>
      </xdr:nvGrpSpPr>
      <xdr:grpSpPr bwMode="auto">
        <a:xfrm>
          <a:off x="6296025" y="2609850"/>
          <a:ext cx="200025" cy="133350"/>
          <a:chOff x="2933" y="2069"/>
          <a:chExt cx="175" cy="59"/>
        </a:xfrm>
      </xdr:grpSpPr>
      <xdr:sp macro="" textlink="">
        <xdr:nvSpPr>
          <xdr:cNvPr id="125" name="Oval 323">
            <a:extLst>
              <a:ext uri="{FF2B5EF4-FFF2-40B4-BE49-F238E27FC236}">
                <a16:creationId xmlns:a16="http://schemas.microsoft.com/office/drawing/2014/main" id="{00000000-0008-0000-0600-00007D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6" name="Oval 324">
            <a:extLst>
              <a:ext uri="{FF2B5EF4-FFF2-40B4-BE49-F238E27FC236}">
                <a16:creationId xmlns:a16="http://schemas.microsoft.com/office/drawing/2014/main" id="{00000000-0008-0000-06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7" name="Rectangle 325">
            <a:extLst>
              <a:ext uri="{FF2B5EF4-FFF2-40B4-BE49-F238E27FC236}">
                <a16:creationId xmlns:a16="http://schemas.microsoft.com/office/drawing/2014/main" id="{00000000-0008-0000-0600-00007F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161925</xdr:colOff>
      <xdr:row>13</xdr:row>
      <xdr:rowOff>133350</xdr:rowOff>
    </xdr:from>
    <xdr:to>
      <xdr:col>13</xdr:col>
      <xdr:colOff>361950</xdr:colOff>
      <xdr:row>14</xdr:row>
      <xdr:rowOff>76200</xdr:rowOff>
    </xdr:to>
    <xdr:grpSp>
      <xdr:nvGrpSpPr>
        <xdr:cNvPr id="132" name="Group 32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GrpSpPr>
          <a:grpSpLocks/>
        </xdr:cNvGrpSpPr>
      </xdr:nvGrpSpPr>
      <xdr:grpSpPr bwMode="auto">
        <a:xfrm>
          <a:off x="7629525" y="2609850"/>
          <a:ext cx="200025" cy="133350"/>
          <a:chOff x="2933" y="2069"/>
          <a:chExt cx="175" cy="59"/>
        </a:xfrm>
      </xdr:grpSpPr>
      <xdr:sp macro="" textlink="">
        <xdr:nvSpPr>
          <xdr:cNvPr id="133" name="Oval 323">
            <a:extLst>
              <a:ext uri="{FF2B5EF4-FFF2-40B4-BE49-F238E27FC236}">
                <a16:creationId xmlns:a16="http://schemas.microsoft.com/office/drawing/2014/main" id="{00000000-0008-0000-0600-000085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4" name="Oval 324">
            <a:extLst>
              <a:ext uri="{FF2B5EF4-FFF2-40B4-BE49-F238E27FC236}">
                <a16:creationId xmlns:a16="http://schemas.microsoft.com/office/drawing/2014/main" id="{00000000-0008-0000-0600-000086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" name="Rectangle 325">
            <a:extLst>
              <a:ext uri="{FF2B5EF4-FFF2-40B4-BE49-F238E27FC236}">
                <a16:creationId xmlns:a16="http://schemas.microsoft.com/office/drawing/2014/main" id="{00000000-0008-0000-0600-000087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15876</xdr:colOff>
      <xdr:row>14</xdr:row>
      <xdr:rowOff>9526</xdr:rowOff>
    </xdr:from>
    <xdr:to>
      <xdr:col>11</xdr:col>
      <xdr:colOff>123825</xdr:colOff>
      <xdr:row>14</xdr:row>
      <xdr:rowOff>180979</xdr:rowOff>
    </xdr:to>
    <xdr:cxnSp macro="">
      <xdr:nvCxnSpPr>
        <xdr:cNvPr id="137" name="Elbow Connector 136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CxnSpPr>
          <a:stCxn id="43" idx="2"/>
          <a:endCxn id="126" idx="2"/>
        </xdr:cNvCxnSpPr>
      </xdr:nvCxnSpPr>
      <xdr:spPr>
        <a:xfrm rot="5400000" flipH="1" flipV="1">
          <a:off x="5775324" y="2593978"/>
          <a:ext cx="171453" cy="71754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223266</xdr:colOff>
      <xdr:row>12</xdr:row>
      <xdr:rowOff>80962</xdr:rowOff>
    </xdr:from>
    <xdr:to>
      <xdr:col>12</xdr:col>
      <xdr:colOff>190500</xdr:colOff>
      <xdr:row>13</xdr:row>
      <xdr:rowOff>133350</xdr:rowOff>
    </xdr:to>
    <xdr:cxnSp macro="">
      <xdr:nvCxnSpPr>
        <xdr:cNvPr id="139" name="Elbow Connector 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CxnSpPr>
          <a:stCxn id="127" idx="0"/>
          <a:endCxn id="23" idx="1"/>
        </xdr:cNvCxnSpPr>
      </xdr:nvCxnSpPr>
      <xdr:spPr>
        <a:xfrm rot="5400000" flipH="1" flipV="1">
          <a:off x="6486239" y="2390489"/>
          <a:ext cx="242888" cy="576834"/>
        </a:xfrm>
        <a:prstGeom prst="bentConnector3">
          <a:avLst>
            <a:gd name="adj1" fmla="val 10392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223266</xdr:colOff>
      <xdr:row>14</xdr:row>
      <xdr:rowOff>76199</xdr:rowOff>
    </xdr:from>
    <xdr:to>
      <xdr:col>12</xdr:col>
      <xdr:colOff>260839</xdr:colOff>
      <xdr:row>15</xdr:row>
      <xdr:rowOff>67052</xdr:rowOff>
    </xdr:to>
    <xdr:cxnSp macro="">
      <xdr:nvCxnSpPr>
        <xdr:cNvPr id="142" name="Elbow Connector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CxnSpPr>
          <a:stCxn id="127" idx="2"/>
          <a:endCxn id="30" idx="2"/>
        </xdr:cNvCxnSpPr>
      </xdr:nvCxnSpPr>
      <xdr:spPr>
        <a:xfrm rot="16200000" flipH="1">
          <a:off x="6552176" y="2700789"/>
          <a:ext cx="181353" cy="647173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377334</xdr:colOff>
      <xdr:row>14</xdr:row>
      <xdr:rowOff>76200</xdr:rowOff>
    </xdr:from>
    <xdr:to>
      <xdr:col>13</xdr:col>
      <xdr:colOff>261366</xdr:colOff>
      <xdr:row>15</xdr:row>
      <xdr:rowOff>70834</xdr:rowOff>
    </xdr:to>
    <xdr:cxnSp macro="">
      <xdr:nvCxnSpPr>
        <xdr:cNvPr id="144" name="Elbow Connector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CxnSpPr>
          <a:stCxn id="30" idx="0"/>
          <a:endCxn id="135" idx="2"/>
        </xdr:cNvCxnSpPr>
      </xdr:nvCxnSpPr>
      <xdr:spPr>
        <a:xfrm flipV="1">
          <a:off x="7082934" y="2933700"/>
          <a:ext cx="493632" cy="185134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419100</xdr:colOff>
      <xdr:row>12</xdr:row>
      <xdr:rowOff>80962</xdr:rowOff>
    </xdr:from>
    <xdr:to>
      <xdr:col>13</xdr:col>
      <xdr:colOff>261366</xdr:colOff>
      <xdr:row>13</xdr:row>
      <xdr:rowOff>133350</xdr:rowOff>
    </xdr:to>
    <xdr:cxnSp macro="">
      <xdr:nvCxnSpPr>
        <xdr:cNvPr id="146" name="Elbow Connector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CxnSpPr>
          <a:stCxn id="23" idx="3"/>
          <a:endCxn id="135" idx="0"/>
        </xdr:cNvCxnSpPr>
      </xdr:nvCxnSpPr>
      <xdr:spPr>
        <a:xfrm rot="16200000" flipH="1">
          <a:off x="7229189" y="2452973"/>
          <a:ext cx="242888" cy="451866"/>
        </a:xfrm>
        <a:prstGeom prst="bentConnector3">
          <a:avLst>
            <a:gd name="adj1" fmla="val -392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12</xdr:row>
      <xdr:rowOff>38100</xdr:rowOff>
    </xdr:from>
    <xdr:to>
      <xdr:col>17</xdr:col>
      <xdr:colOff>38100</xdr:colOff>
      <xdr:row>14</xdr:row>
      <xdr:rowOff>9525</xdr:rowOff>
    </xdr:to>
    <xdr:cxnSp macro="">
      <xdr:nvCxnSpPr>
        <xdr:cNvPr id="149" name="Elbow Connector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CxnSpPr>
          <a:stCxn id="133" idx="6"/>
        </xdr:cNvCxnSpPr>
      </xdr:nvCxnSpPr>
      <xdr:spPr>
        <a:xfrm flipV="1">
          <a:off x="7677150" y="2514600"/>
          <a:ext cx="2114550" cy="352425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142876</xdr:colOff>
      <xdr:row>6</xdr:row>
      <xdr:rowOff>133350</xdr:rowOff>
    </xdr:from>
    <xdr:to>
      <xdr:col>17</xdr:col>
      <xdr:colOff>197564</xdr:colOff>
      <xdr:row>6</xdr:row>
      <xdr:rowOff>171450</xdr:rowOff>
    </xdr:to>
    <xdr:cxnSp macro="">
      <xdr:nvCxnSpPr>
        <xdr:cNvPr id="151" name="Elbow Connector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CxnSpPr>
          <a:stCxn id="5" idx="0"/>
          <a:endCxn id="64" idx="0"/>
        </xdr:cNvCxnSpPr>
      </xdr:nvCxnSpPr>
      <xdr:spPr>
        <a:xfrm rot="16200000" flipH="1" flipV="1">
          <a:off x="8380770" y="-65444"/>
          <a:ext cx="38100" cy="3102688"/>
        </a:xfrm>
        <a:prstGeom prst="bentConnector3">
          <a:avLst>
            <a:gd name="adj1" fmla="val -600000"/>
          </a:avLst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596153</xdr:colOff>
      <xdr:row>8</xdr:row>
      <xdr:rowOff>76201</xdr:rowOff>
    </xdr:from>
    <xdr:to>
      <xdr:col>12</xdr:col>
      <xdr:colOff>142876</xdr:colOff>
      <xdr:row>12</xdr:row>
      <xdr:rowOff>1</xdr:rowOff>
    </xdr:to>
    <xdr:cxnSp macro="">
      <xdr:nvCxnSpPr>
        <xdr:cNvPr id="153" name="Elbow Connector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CxnSpPr>
          <a:stCxn id="64" idx="4"/>
          <a:endCxn id="71" idx="0"/>
        </xdr:cNvCxnSpPr>
      </xdr:nvCxnSpPr>
      <xdr:spPr>
        <a:xfrm rot="5400000">
          <a:off x="4598615" y="226639"/>
          <a:ext cx="685800" cy="3813923"/>
        </a:xfrm>
        <a:prstGeom prst="bentConnector3">
          <a:avLst/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</xdr:row>
      <xdr:rowOff>66675</xdr:rowOff>
    </xdr:from>
    <xdr:to>
      <xdr:col>6</xdr:col>
      <xdr:colOff>276225</xdr:colOff>
      <xdr:row>5</xdr:row>
      <xdr:rowOff>1</xdr:rowOff>
    </xdr:to>
    <xdr:sp macro="" textlink="">
      <xdr:nvSpPr>
        <xdr:cNvPr id="154" name="AutoShape 222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rrowheads="1"/>
        </xdr:cNvSpPr>
      </xdr:nvSpPr>
      <xdr:spPr bwMode="auto">
        <a:xfrm rot="16200000" flipH="1">
          <a:off x="3052762" y="871538"/>
          <a:ext cx="314326" cy="228600"/>
        </a:xfrm>
        <a:custGeom>
          <a:avLst/>
          <a:gdLst>
            <a:gd name="G0" fmla="+- 4547 0 0"/>
            <a:gd name="G1" fmla="+- 21600 0 4547"/>
            <a:gd name="G2" fmla="*/ 4547 1 2"/>
            <a:gd name="G3" fmla="+- 21600 0 G2"/>
            <a:gd name="G4" fmla="+/ 4547 21600 2"/>
            <a:gd name="G5" fmla="+/ G1 0 2"/>
            <a:gd name="G6" fmla="*/ 21600 21600 4547"/>
            <a:gd name="G7" fmla="*/ G6 1 2"/>
            <a:gd name="G8" fmla="+- 21600 0 G7"/>
            <a:gd name="G9" fmla="*/ 21600 1 2"/>
            <a:gd name="G10" fmla="+- 4547 0 G9"/>
            <a:gd name="G11" fmla="?: G10 G8 0"/>
            <a:gd name="G12" fmla="?: G10 G7 21600"/>
            <a:gd name="T0" fmla="*/ 19326 w 21600"/>
            <a:gd name="T1" fmla="*/ 10800 h 21600"/>
            <a:gd name="T2" fmla="*/ 10800 w 21600"/>
            <a:gd name="T3" fmla="*/ 21600 h 21600"/>
            <a:gd name="T4" fmla="*/ 2274 w 21600"/>
            <a:gd name="T5" fmla="*/ 10800 h 21600"/>
            <a:gd name="T6" fmla="*/ 10800 w 21600"/>
            <a:gd name="T7" fmla="*/ 0 h 21600"/>
            <a:gd name="T8" fmla="*/ 4074 w 21600"/>
            <a:gd name="T9" fmla="*/ 4074 h 21600"/>
            <a:gd name="T10" fmla="*/ 17526 w 21600"/>
            <a:gd name="T11" fmla="*/ 17526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4547" y="21600"/>
              </a:lnTo>
              <a:lnTo>
                <a:pt x="17053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596153</xdr:colOff>
      <xdr:row>4</xdr:row>
      <xdr:rowOff>33338</xdr:rowOff>
    </xdr:from>
    <xdr:to>
      <xdr:col>6</xdr:col>
      <xdr:colOff>47625</xdr:colOff>
      <xdr:row>13</xdr:row>
      <xdr:rowOff>95250</xdr:rowOff>
    </xdr:to>
    <xdr:cxnSp macro="">
      <xdr:nvCxnSpPr>
        <xdr:cNvPr id="156" name="Elbow Connector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CxnSpPr>
          <a:stCxn id="71" idx="4"/>
          <a:endCxn id="154" idx="3"/>
        </xdr:cNvCxnSpPr>
      </xdr:nvCxnSpPr>
      <xdr:spPr>
        <a:xfrm rot="5400000" flipH="1" flipV="1">
          <a:off x="2176883" y="1843508"/>
          <a:ext cx="1776412" cy="61072"/>
        </a:xfrm>
        <a:prstGeom prst="bentConnector5">
          <a:avLst>
            <a:gd name="adj1" fmla="val -12869"/>
            <a:gd name="adj2" fmla="val -601836"/>
            <a:gd name="adj3" fmla="val 100939"/>
          </a:avLst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</xdr:row>
      <xdr:rowOff>123825</xdr:rowOff>
    </xdr:from>
    <xdr:to>
      <xdr:col>7</xdr:col>
      <xdr:colOff>514350</xdr:colOff>
      <xdr:row>4</xdr:row>
      <xdr:rowOff>187325</xdr:rowOff>
    </xdr:to>
    <xdr:grpSp>
      <xdr:nvGrpSpPr>
        <xdr:cNvPr id="197" name="Group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GrpSpPr/>
      </xdr:nvGrpSpPr>
      <xdr:grpSpPr>
        <a:xfrm>
          <a:off x="3886200" y="695325"/>
          <a:ext cx="247650" cy="254000"/>
          <a:chOff x="7924800" y="3089275"/>
          <a:chExt cx="431800" cy="473075"/>
        </a:xfrm>
      </xdr:grpSpPr>
      <xdr:sp macro="" textlink="">
        <xdr:nvSpPr>
          <xdr:cNvPr id="198" name="Rectangle 197">
            <a:extLst>
              <a:ext uri="{FF2B5EF4-FFF2-40B4-BE49-F238E27FC236}">
                <a16:creationId xmlns:a16="http://schemas.microsoft.com/office/drawing/2014/main" id="{00000000-0008-0000-0600-0000C6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199" name="Rectangle 198">
            <a:extLst>
              <a:ext uri="{FF2B5EF4-FFF2-40B4-BE49-F238E27FC236}">
                <a16:creationId xmlns:a16="http://schemas.microsoft.com/office/drawing/2014/main" id="{00000000-0008-0000-0600-0000C7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00" name="Line 110">
            <a:extLst>
              <a:ext uri="{FF2B5EF4-FFF2-40B4-BE49-F238E27FC236}">
                <a16:creationId xmlns:a16="http://schemas.microsoft.com/office/drawing/2014/main" id="{00000000-0008-0000-0600-0000C8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1" name="Line 111">
            <a:extLst>
              <a:ext uri="{FF2B5EF4-FFF2-40B4-BE49-F238E27FC236}">
                <a16:creationId xmlns:a16="http://schemas.microsoft.com/office/drawing/2014/main" id="{00000000-0008-0000-0600-0000C9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2" name="Line 112">
            <a:extLst>
              <a:ext uri="{FF2B5EF4-FFF2-40B4-BE49-F238E27FC236}">
                <a16:creationId xmlns:a16="http://schemas.microsoft.com/office/drawing/2014/main" id="{00000000-0008-0000-0600-0000CA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203" name="Straight Connector 202">
            <a:extLst>
              <a:ext uri="{FF2B5EF4-FFF2-40B4-BE49-F238E27FC236}">
                <a16:creationId xmlns:a16="http://schemas.microsoft.com/office/drawing/2014/main" id="{00000000-0008-0000-0600-0000CB000000}"/>
              </a:ext>
            </a:extLst>
          </xdr:cNvPr>
          <xdr:cNvCxnSpPr>
            <a:stCxn id="199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04" name="Straight Connector 203">
            <a:extLst>
              <a:ext uri="{FF2B5EF4-FFF2-40B4-BE49-F238E27FC236}">
                <a16:creationId xmlns:a16="http://schemas.microsoft.com/office/drawing/2014/main" id="{00000000-0008-0000-0600-0000CC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409574</xdr:colOff>
      <xdr:row>2</xdr:row>
      <xdr:rowOff>85725</xdr:rowOff>
    </xdr:from>
    <xdr:to>
      <xdr:col>9</xdr:col>
      <xdr:colOff>457199</xdr:colOff>
      <xdr:row>4</xdr:row>
      <xdr:rowOff>28575</xdr:rowOff>
    </xdr:to>
    <xdr:grpSp>
      <xdr:nvGrpSpPr>
        <xdr:cNvPr id="205" name="Group 122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GrpSpPr>
          <a:grpSpLocks/>
        </xdr:cNvGrpSpPr>
      </xdr:nvGrpSpPr>
      <xdr:grpSpPr bwMode="auto">
        <a:xfrm flipH="1">
          <a:off x="4638674" y="466725"/>
          <a:ext cx="723900" cy="323850"/>
          <a:chOff x="982" y="878"/>
          <a:chExt cx="215" cy="70"/>
        </a:xfrm>
      </xdr:grpSpPr>
      <xdr:grpSp>
        <xdr:nvGrpSpPr>
          <xdr:cNvPr id="206" name="Group 123">
            <a:extLst>
              <a:ext uri="{FF2B5EF4-FFF2-40B4-BE49-F238E27FC236}">
                <a16:creationId xmlns:a16="http://schemas.microsoft.com/office/drawing/2014/main" id="{00000000-0008-0000-0600-0000CE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208" name="Group 124">
              <a:extLst>
                <a:ext uri="{FF2B5EF4-FFF2-40B4-BE49-F238E27FC236}">
                  <a16:creationId xmlns:a16="http://schemas.microsoft.com/office/drawing/2014/main" id="{00000000-0008-0000-0600-0000D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224" name="Group 125">
                <a:extLst>
                  <a:ext uri="{FF2B5EF4-FFF2-40B4-BE49-F238E27FC236}">
                    <a16:creationId xmlns:a16="http://schemas.microsoft.com/office/drawing/2014/main" id="{00000000-0008-0000-0600-0000E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256" name="Group 126">
                  <a:extLst>
                    <a:ext uri="{FF2B5EF4-FFF2-40B4-BE49-F238E27FC236}">
                      <a16:creationId xmlns:a16="http://schemas.microsoft.com/office/drawing/2014/main" id="{00000000-0008-0000-0600-000000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66" name="Line 127">
                    <a:extLst>
                      <a:ext uri="{FF2B5EF4-FFF2-40B4-BE49-F238E27FC236}">
                        <a16:creationId xmlns:a16="http://schemas.microsoft.com/office/drawing/2014/main" id="{00000000-0008-0000-0600-00000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7" name="Line 128">
                    <a:extLst>
                      <a:ext uri="{FF2B5EF4-FFF2-40B4-BE49-F238E27FC236}">
                        <a16:creationId xmlns:a16="http://schemas.microsoft.com/office/drawing/2014/main" id="{00000000-0008-0000-0600-00000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57" name="Group 129">
                  <a:extLst>
                    <a:ext uri="{FF2B5EF4-FFF2-40B4-BE49-F238E27FC236}">
                      <a16:creationId xmlns:a16="http://schemas.microsoft.com/office/drawing/2014/main" id="{00000000-0008-0000-0600-00000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64" name="Line 130">
                    <a:extLst>
                      <a:ext uri="{FF2B5EF4-FFF2-40B4-BE49-F238E27FC236}">
                        <a16:creationId xmlns:a16="http://schemas.microsoft.com/office/drawing/2014/main" id="{00000000-0008-0000-0600-000008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5" name="Line 131">
                    <a:extLst>
                      <a:ext uri="{FF2B5EF4-FFF2-40B4-BE49-F238E27FC236}">
                        <a16:creationId xmlns:a16="http://schemas.microsoft.com/office/drawing/2014/main" id="{00000000-0008-0000-0600-00000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58" name="Group 132">
                  <a:extLst>
                    <a:ext uri="{FF2B5EF4-FFF2-40B4-BE49-F238E27FC236}">
                      <a16:creationId xmlns:a16="http://schemas.microsoft.com/office/drawing/2014/main" id="{00000000-0008-0000-0600-00000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62" name="Line 133">
                    <a:extLst>
                      <a:ext uri="{FF2B5EF4-FFF2-40B4-BE49-F238E27FC236}">
                        <a16:creationId xmlns:a16="http://schemas.microsoft.com/office/drawing/2014/main" id="{00000000-0008-0000-0600-00000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3" name="Line 134">
                    <a:extLst>
                      <a:ext uri="{FF2B5EF4-FFF2-40B4-BE49-F238E27FC236}">
                        <a16:creationId xmlns:a16="http://schemas.microsoft.com/office/drawing/2014/main" id="{00000000-0008-0000-0600-00000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59" name="Group 135">
                  <a:extLst>
                    <a:ext uri="{FF2B5EF4-FFF2-40B4-BE49-F238E27FC236}">
                      <a16:creationId xmlns:a16="http://schemas.microsoft.com/office/drawing/2014/main" id="{00000000-0008-0000-0600-000003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60" name="Line 136">
                    <a:extLst>
                      <a:ext uri="{FF2B5EF4-FFF2-40B4-BE49-F238E27FC236}">
                        <a16:creationId xmlns:a16="http://schemas.microsoft.com/office/drawing/2014/main" id="{00000000-0008-0000-0600-000004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1" name="Line 137">
                    <a:extLst>
                      <a:ext uri="{FF2B5EF4-FFF2-40B4-BE49-F238E27FC236}">
                        <a16:creationId xmlns:a16="http://schemas.microsoft.com/office/drawing/2014/main" id="{00000000-0008-0000-0600-00000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225" name="Group 138">
                <a:extLst>
                  <a:ext uri="{FF2B5EF4-FFF2-40B4-BE49-F238E27FC236}">
                    <a16:creationId xmlns:a16="http://schemas.microsoft.com/office/drawing/2014/main" id="{00000000-0008-0000-0600-0000E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244" name="Group 139">
                  <a:extLst>
                    <a:ext uri="{FF2B5EF4-FFF2-40B4-BE49-F238E27FC236}">
                      <a16:creationId xmlns:a16="http://schemas.microsoft.com/office/drawing/2014/main" id="{00000000-0008-0000-0600-0000F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54" name="Line 140">
                    <a:extLst>
                      <a:ext uri="{FF2B5EF4-FFF2-40B4-BE49-F238E27FC236}">
                        <a16:creationId xmlns:a16="http://schemas.microsoft.com/office/drawing/2014/main" id="{00000000-0008-0000-0600-0000F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55" name="Line 141">
                    <a:extLst>
                      <a:ext uri="{FF2B5EF4-FFF2-40B4-BE49-F238E27FC236}">
                        <a16:creationId xmlns:a16="http://schemas.microsoft.com/office/drawing/2014/main" id="{00000000-0008-0000-0600-0000F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45" name="Group 142">
                  <a:extLst>
                    <a:ext uri="{FF2B5EF4-FFF2-40B4-BE49-F238E27FC236}">
                      <a16:creationId xmlns:a16="http://schemas.microsoft.com/office/drawing/2014/main" id="{00000000-0008-0000-0600-0000F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52" name="Line 143">
                    <a:extLst>
                      <a:ext uri="{FF2B5EF4-FFF2-40B4-BE49-F238E27FC236}">
                        <a16:creationId xmlns:a16="http://schemas.microsoft.com/office/drawing/2014/main" id="{00000000-0008-0000-0600-0000F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53" name="Line 144">
                    <a:extLst>
                      <a:ext uri="{FF2B5EF4-FFF2-40B4-BE49-F238E27FC236}">
                        <a16:creationId xmlns:a16="http://schemas.microsoft.com/office/drawing/2014/main" id="{00000000-0008-0000-0600-0000F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46" name="Group 145">
                  <a:extLst>
                    <a:ext uri="{FF2B5EF4-FFF2-40B4-BE49-F238E27FC236}">
                      <a16:creationId xmlns:a16="http://schemas.microsoft.com/office/drawing/2014/main" id="{00000000-0008-0000-0600-0000F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50" name="Line 146">
                    <a:extLst>
                      <a:ext uri="{FF2B5EF4-FFF2-40B4-BE49-F238E27FC236}">
                        <a16:creationId xmlns:a16="http://schemas.microsoft.com/office/drawing/2014/main" id="{00000000-0008-0000-0600-0000F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51" name="Line 147">
                    <a:extLst>
                      <a:ext uri="{FF2B5EF4-FFF2-40B4-BE49-F238E27FC236}">
                        <a16:creationId xmlns:a16="http://schemas.microsoft.com/office/drawing/2014/main" id="{00000000-0008-0000-0600-0000F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47" name="Group 148">
                  <a:extLst>
                    <a:ext uri="{FF2B5EF4-FFF2-40B4-BE49-F238E27FC236}">
                      <a16:creationId xmlns:a16="http://schemas.microsoft.com/office/drawing/2014/main" id="{00000000-0008-0000-0600-0000F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48" name="Line 149">
                    <a:extLst>
                      <a:ext uri="{FF2B5EF4-FFF2-40B4-BE49-F238E27FC236}">
                        <a16:creationId xmlns:a16="http://schemas.microsoft.com/office/drawing/2014/main" id="{00000000-0008-0000-0600-0000F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49" name="Line 150">
                    <a:extLst>
                      <a:ext uri="{FF2B5EF4-FFF2-40B4-BE49-F238E27FC236}">
                        <a16:creationId xmlns:a16="http://schemas.microsoft.com/office/drawing/2014/main" id="{00000000-0008-0000-0600-0000F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226" name="Group 151">
                <a:extLst>
                  <a:ext uri="{FF2B5EF4-FFF2-40B4-BE49-F238E27FC236}">
                    <a16:creationId xmlns:a16="http://schemas.microsoft.com/office/drawing/2014/main" id="{00000000-0008-0000-0600-0000E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228" name="Group 152">
                  <a:extLst>
                    <a:ext uri="{FF2B5EF4-FFF2-40B4-BE49-F238E27FC236}">
                      <a16:creationId xmlns:a16="http://schemas.microsoft.com/office/drawing/2014/main" id="{00000000-0008-0000-0600-0000E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42" name="Line 153">
                    <a:extLst>
                      <a:ext uri="{FF2B5EF4-FFF2-40B4-BE49-F238E27FC236}">
                        <a16:creationId xmlns:a16="http://schemas.microsoft.com/office/drawing/2014/main" id="{00000000-0008-0000-0600-0000F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43" name="Line 154">
                    <a:extLst>
                      <a:ext uri="{FF2B5EF4-FFF2-40B4-BE49-F238E27FC236}">
                        <a16:creationId xmlns:a16="http://schemas.microsoft.com/office/drawing/2014/main" id="{00000000-0008-0000-0600-0000F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29" name="Group 155">
                  <a:extLst>
                    <a:ext uri="{FF2B5EF4-FFF2-40B4-BE49-F238E27FC236}">
                      <a16:creationId xmlns:a16="http://schemas.microsoft.com/office/drawing/2014/main" id="{00000000-0008-0000-0600-0000E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40" name="Line 156">
                    <a:extLst>
                      <a:ext uri="{FF2B5EF4-FFF2-40B4-BE49-F238E27FC236}">
                        <a16:creationId xmlns:a16="http://schemas.microsoft.com/office/drawing/2014/main" id="{00000000-0008-0000-0600-0000F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41" name="Line 157">
                    <a:extLst>
                      <a:ext uri="{FF2B5EF4-FFF2-40B4-BE49-F238E27FC236}">
                        <a16:creationId xmlns:a16="http://schemas.microsoft.com/office/drawing/2014/main" id="{00000000-0008-0000-0600-0000F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30" name="Group 158">
                  <a:extLst>
                    <a:ext uri="{FF2B5EF4-FFF2-40B4-BE49-F238E27FC236}">
                      <a16:creationId xmlns:a16="http://schemas.microsoft.com/office/drawing/2014/main" id="{00000000-0008-0000-0600-0000E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38" name="Line 159">
                    <a:extLst>
                      <a:ext uri="{FF2B5EF4-FFF2-40B4-BE49-F238E27FC236}">
                        <a16:creationId xmlns:a16="http://schemas.microsoft.com/office/drawing/2014/main" id="{00000000-0008-0000-0600-0000E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39" name="Line 160">
                    <a:extLst>
                      <a:ext uri="{FF2B5EF4-FFF2-40B4-BE49-F238E27FC236}">
                        <a16:creationId xmlns:a16="http://schemas.microsoft.com/office/drawing/2014/main" id="{00000000-0008-0000-0600-0000E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31" name="Group 161">
                  <a:extLst>
                    <a:ext uri="{FF2B5EF4-FFF2-40B4-BE49-F238E27FC236}">
                      <a16:creationId xmlns:a16="http://schemas.microsoft.com/office/drawing/2014/main" id="{00000000-0008-0000-0600-0000E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36" name="Line 162">
                    <a:extLst>
                      <a:ext uri="{FF2B5EF4-FFF2-40B4-BE49-F238E27FC236}">
                        <a16:creationId xmlns:a16="http://schemas.microsoft.com/office/drawing/2014/main" id="{00000000-0008-0000-0600-0000E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37" name="Line 163">
                    <a:extLst>
                      <a:ext uri="{FF2B5EF4-FFF2-40B4-BE49-F238E27FC236}">
                        <a16:creationId xmlns:a16="http://schemas.microsoft.com/office/drawing/2014/main" id="{00000000-0008-0000-0600-0000E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32" name="Group 164">
                  <a:extLst>
                    <a:ext uri="{FF2B5EF4-FFF2-40B4-BE49-F238E27FC236}">
                      <a16:creationId xmlns:a16="http://schemas.microsoft.com/office/drawing/2014/main" id="{00000000-0008-0000-0600-0000E8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34" name="Line 165">
                    <a:extLst>
                      <a:ext uri="{FF2B5EF4-FFF2-40B4-BE49-F238E27FC236}">
                        <a16:creationId xmlns:a16="http://schemas.microsoft.com/office/drawing/2014/main" id="{00000000-0008-0000-0600-0000E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35" name="Line 166">
                    <a:extLst>
                      <a:ext uri="{FF2B5EF4-FFF2-40B4-BE49-F238E27FC236}">
                        <a16:creationId xmlns:a16="http://schemas.microsoft.com/office/drawing/2014/main" id="{00000000-0008-0000-0600-0000E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233" name="Line 167">
                  <a:extLst>
                    <a:ext uri="{FF2B5EF4-FFF2-40B4-BE49-F238E27FC236}">
                      <a16:creationId xmlns:a16="http://schemas.microsoft.com/office/drawing/2014/main" id="{00000000-0008-0000-0600-0000E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227" name="Line 168">
                <a:extLst>
                  <a:ext uri="{FF2B5EF4-FFF2-40B4-BE49-F238E27FC236}">
                    <a16:creationId xmlns:a16="http://schemas.microsoft.com/office/drawing/2014/main" id="{00000000-0008-0000-0600-0000E3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09" name="Group 169">
              <a:extLst>
                <a:ext uri="{FF2B5EF4-FFF2-40B4-BE49-F238E27FC236}">
                  <a16:creationId xmlns:a16="http://schemas.microsoft.com/office/drawing/2014/main" id="{00000000-0008-0000-0600-0000D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210" name="Rectangle 170">
                <a:extLst>
                  <a:ext uri="{FF2B5EF4-FFF2-40B4-BE49-F238E27FC236}">
                    <a16:creationId xmlns:a16="http://schemas.microsoft.com/office/drawing/2014/main" id="{00000000-0008-0000-0600-0000D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val="969696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grpSp>
            <xdr:nvGrpSpPr>
              <xdr:cNvPr id="211" name="Group 171">
                <a:extLst>
                  <a:ext uri="{FF2B5EF4-FFF2-40B4-BE49-F238E27FC236}">
                    <a16:creationId xmlns:a16="http://schemas.microsoft.com/office/drawing/2014/main" id="{00000000-0008-0000-0600-0000D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212" name="Oval 172">
                  <a:extLst>
                    <a:ext uri="{FF2B5EF4-FFF2-40B4-BE49-F238E27FC236}">
                      <a16:creationId xmlns:a16="http://schemas.microsoft.com/office/drawing/2014/main" id="{00000000-0008-0000-0600-0000D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val="767676">
                        <a:gamma/>
                        <a:shade val="46275"/>
                        <a:invGamma/>
                      </a:srgbClr>
                    </a:gs>
                    <a:gs pos="50000">
                      <a:srgbClr val="FFFFFF"/>
                    </a:gs>
                    <a:gs pos="100000">
                      <a:srgbClr val="767676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213" name="Group 173">
                  <a:extLst>
                    <a:ext uri="{FF2B5EF4-FFF2-40B4-BE49-F238E27FC236}">
                      <a16:creationId xmlns:a16="http://schemas.microsoft.com/office/drawing/2014/main" id="{00000000-0008-0000-0600-0000D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218" name="Group 174">
                    <a:extLst>
                      <a:ext uri="{FF2B5EF4-FFF2-40B4-BE49-F238E27FC236}">
                        <a16:creationId xmlns:a16="http://schemas.microsoft.com/office/drawing/2014/main" id="{00000000-0008-0000-0600-0000DA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222" name="Oval 175">
                      <a:extLst>
                        <a:ext uri="{FF2B5EF4-FFF2-40B4-BE49-F238E27FC236}">
                          <a16:creationId xmlns:a16="http://schemas.microsoft.com/office/drawing/2014/main" id="{00000000-0008-0000-0600-0000DE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23" name="AutoShape 176">
                      <a:extLst>
                        <a:ext uri="{FF2B5EF4-FFF2-40B4-BE49-F238E27FC236}">
                          <a16:creationId xmlns:a16="http://schemas.microsoft.com/office/drawing/2014/main" id="{00000000-0008-0000-0600-0000DF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219" name="Group 177">
                    <a:extLst>
                      <a:ext uri="{FF2B5EF4-FFF2-40B4-BE49-F238E27FC236}">
                        <a16:creationId xmlns:a16="http://schemas.microsoft.com/office/drawing/2014/main" id="{00000000-0008-0000-0600-0000DB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220" name="Oval 178">
                      <a:extLst>
                        <a:ext uri="{FF2B5EF4-FFF2-40B4-BE49-F238E27FC236}">
                          <a16:creationId xmlns:a16="http://schemas.microsoft.com/office/drawing/2014/main" id="{00000000-0008-0000-0600-0000DC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21" name="AutoShape 179">
                      <a:extLst>
                        <a:ext uri="{FF2B5EF4-FFF2-40B4-BE49-F238E27FC236}">
                          <a16:creationId xmlns:a16="http://schemas.microsoft.com/office/drawing/2014/main" id="{00000000-0008-0000-0600-0000DD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214" name="Line 180">
                  <a:extLst>
                    <a:ext uri="{FF2B5EF4-FFF2-40B4-BE49-F238E27FC236}">
                      <a16:creationId xmlns:a16="http://schemas.microsoft.com/office/drawing/2014/main" id="{00000000-0008-0000-0600-0000D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215" name="Group 181">
                  <a:extLst>
                    <a:ext uri="{FF2B5EF4-FFF2-40B4-BE49-F238E27FC236}">
                      <a16:creationId xmlns:a16="http://schemas.microsoft.com/office/drawing/2014/main" id="{00000000-0008-0000-0600-0000D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216" name="Oval 182">
                    <a:extLst>
                      <a:ext uri="{FF2B5EF4-FFF2-40B4-BE49-F238E27FC236}">
                        <a16:creationId xmlns:a16="http://schemas.microsoft.com/office/drawing/2014/main" id="{00000000-0008-0000-0600-0000D8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217" name="Rectangle 183">
                    <a:extLst>
                      <a:ext uri="{FF2B5EF4-FFF2-40B4-BE49-F238E27FC236}">
                        <a16:creationId xmlns:a16="http://schemas.microsoft.com/office/drawing/2014/main" id="{00000000-0008-0000-0600-0000D9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207" name="Rectangle 184">
            <a:extLst>
              <a:ext uri="{FF2B5EF4-FFF2-40B4-BE49-F238E27FC236}">
                <a16:creationId xmlns:a16="http://schemas.microsoft.com/office/drawing/2014/main" id="{00000000-0008-0000-0600-0000CF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</xdr:col>
      <xdr:colOff>276224</xdr:colOff>
      <xdr:row>4</xdr:row>
      <xdr:rowOff>14298</xdr:rowOff>
    </xdr:from>
    <xdr:to>
      <xdr:col>7</xdr:col>
      <xdr:colOff>266699</xdr:colOff>
      <xdr:row>4</xdr:row>
      <xdr:rowOff>33338</xdr:rowOff>
    </xdr:to>
    <xdr:cxnSp macro="">
      <xdr:nvCxnSpPr>
        <xdr:cNvPr id="269" name="Elbow Connector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CxnSpPr>
          <a:stCxn id="154" idx="1"/>
          <a:endCxn id="199" idx="1"/>
        </xdr:cNvCxnSpPr>
      </xdr:nvCxnSpPr>
      <xdr:spPr>
        <a:xfrm rot="5400000" flipH="1" flipV="1">
          <a:off x="3614742" y="676280"/>
          <a:ext cx="19040" cy="600075"/>
        </a:xfrm>
        <a:prstGeom prst="bentConnector4">
          <a:avLst>
            <a:gd name="adj1" fmla="val 100053"/>
            <a:gd name="adj2" fmla="val 53571"/>
          </a:avLst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2</xdr:row>
      <xdr:rowOff>180567</xdr:rowOff>
    </xdr:from>
    <xdr:to>
      <xdr:col>8</xdr:col>
      <xdr:colOff>409574</xdr:colOff>
      <xdr:row>4</xdr:row>
      <xdr:rowOff>14298</xdr:rowOff>
    </xdr:to>
    <xdr:cxnSp macro="">
      <xdr:nvCxnSpPr>
        <xdr:cNvPr id="273" name="Elbow Connector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CxnSpPr>
          <a:stCxn id="199" idx="3"/>
          <a:endCxn id="207" idx="3"/>
        </xdr:cNvCxnSpPr>
      </xdr:nvCxnSpPr>
      <xdr:spPr>
        <a:xfrm flipV="1">
          <a:off x="4171950" y="752067"/>
          <a:ext cx="504824" cy="214731"/>
        </a:xfrm>
        <a:prstGeom prst="bentConnector3">
          <a:avLst/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457199</xdr:colOff>
      <xdr:row>2</xdr:row>
      <xdr:rowOff>161925</xdr:rowOff>
    </xdr:from>
    <xdr:to>
      <xdr:col>13</xdr:col>
      <xdr:colOff>9525</xdr:colOff>
      <xdr:row>2</xdr:row>
      <xdr:rowOff>175941</xdr:rowOff>
    </xdr:to>
    <xdr:cxnSp macro="">
      <xdr:nvCxnSpPr>
        <xdr:cNvPr id="276" name="Straight Arrow Connector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CxnSpPr>
          <a:stCxn id="210" idx="1"/>
          <a:endCxn id="275" idx="2"/>
        </xdr:cNvCxnSpPr>
      </xdr:nvCxnSpPr>
      <xdr:spPr>
        <a:xfrm flipV="1">
          <a:off x="6095999" y="542925"/>
          <a:ext cx="2114551" cy="14016"/>
        </a:xfrm>
        <a:prstGeom prst="straightConnector1">
          <a:avLst/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328612</xdr:colOff>
      <xdr:row>25</xdr:row>
      <xdr:rowOff>142637</xdr:rowOff>
    </xdr:from>
    <xdr:to>
      <xdr:col>17</xdr:col>
      <xdr:colOff>318416</xdr:colOff>
      <xdr:row>28</xdr:row>
      <xdr:rowOff>94457</xdr:rowOff>
    </xdr:to>
    <xdr:cxnSp macro="">
      <xdr:nvCxnSpPr>
        <xdr:cNvPr id="283" name="Elbow Connector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CxnSpPr>
          <a:stCxn id="16" idx="5"/>
          <a:endCxn id="60" idx="2"/>
        </xdr:cNvCxnSpPr>
      </xdr:nvCxnSpPr>
      <xdr:spPr>
        <a:xfrm rot="5400000">
          <a:off x="8901054" y="4447995"/>
          <a:ext cx="523320" cy="1818604"/>
        </a:xfrm>
        <a:prstGeom prst="bentConnector2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16</xdr:row>
      <xdr:rowOff>122444</xdr:rowOff>
    </xdr:from>
    <xdr:to>
      <xdr:col>17</xdr:col>
      <xdr:colOff>29484</xdr:colOff>
      <xdr:row>17</xdr:row>
      <xdr:rowOff>79379</xdr:rowOff>
    </xdr:to>
    <xdr:cxnSp macro="">
      <xdr:nvCxnSpPr>
        <xdr:cNvPr id="287" name="Elbow Connector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CxnSpPr>
          <a:stCxn id="42" idx="6"/>
          <a:endCxn id="17" idx="1"/>
        </xdr:cNvCxnSpPr>
      </xdr:nvCxnSpPr>
      <xdr:spPr>
        <a:xfrm rot="5400000" flipH="1" flipV="1">
          <a:off x="7568962" y="1294257"/>
          <a:ext cx="147435" cy="4280809"/>
        </a:xfrm>
        <a:prstGeom prst="bentConnector4">
          <a:avLst>
            <a:gd name="adj1" fmla="val -155051"/>
            <a:gd name="adj2" fmla="val 50643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386603</xdr:colOff>
      <xdr:row>25</xdr:row>
      <xdr:rowOff>161926</xdr:rowOff>
    </xdr:from>
    <xdr:to>
      <xdr:col>14</xdr:col>
      <xdr:colOff>57149</xdr:colOff>
      <xdr:row>28</xdr:row>
      <xdr:rowOff>17067</xdr:rowOff>
    </xdr:to>
    <xdr:cxnSp macro="">
      <xdr:nvCxnSpPr>
        <xdr:cNvPr id="289" name="Elbow Connector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CxnSpPr>
          <a:stCxn id="58" idx="3"/>
          <a:endCxn id="76" idx="4"/>
        </xdr:cNvCxnSpPr>
      </xdr:nvCxnSpPr>
      <xdr:spPr>
        <a:xfrm rot="10800000">
          <a:off x="2215403" y="5114926"/>
          <a:ext cx="5766546" cy="426641"/>
        </a:xfrm>
        <a:prstGeom prst="bentConnector2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525556</xdr:colOff>
      <xdr:row>23</xdr:row>
      <xdr:rowOff>85725</xdr:rowOff>
    </xdr:from>
    <xdr:to>
      <xdr:col>14</xdr:col>
      <xdr:colOff>533400</xdr:colOff>
      <xdr:row>25</xdr:row>
      <xdr:rowOff>19050</xdr:rowOff>
    </xdr:to>
    <xdr:cxnSp macro="">
      <xdr:nvCxnSpPr>
        <xdr:cNvPr id="291" name="Elbow Connector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CxnSpPr>
          <a:stCxn id="76" idx="6"/>
          <a:endCxn id="81" idx="2"/>
        </xdr:cNvCxnSpPr>
      </xdr:nvCxnSpPr>
      <xdr:spPr>
        <a:xfrm flipV="1">
          <a:off x="2963956" y="4467225"/>
          <a:ext cx="6380069" cy="314325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142876</xdr:colOff>
      <xdr:row>21</xdr:row>
      <xdr:rowOff>152400</xdr:rowOff>
    </xdr:from>
    <xdr:to>
      <xdr:col>4</xdr:col>
      <xdr:colOff>386604</xdr:colOff>
      <xdr:row>24</xdr:row>
      <xdr:rowOff>66675</xdr:rowOff>
    </xdr:to>
    <xdr:cxnSp macro="">
      <xdr:nvCxnSpPr>
        <xdr:cNvPr id="293" name="Elbow Connector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CxnSpPr>
          <a:stCxn id="76" idx="0"/>
        </xdr:cNvCxnSpPr>
      </xdr:nvCxnSpPr>
      <xdr:spPr>
        <a:xfrm rot="16200000" flipV="1">
          <a:off x="1545852" y="4159624"/>
          <a:ext cx="485775" cy="853328"/>
        </a:xfrm>
        <a:prstGeom prst="bentConnector2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160805</xdr:colOff>
      <xdr:row>20</xdr:row>
      <xdr:rowOff>19050</xdr:rowOff>
    </xdr:from>
    <xdr:to>
      <xdr:col>15</xdr:col>
      <xdr:colOff>170330</xdr:colOff>
      <xdr:row>23</xdr:row>
      <xdr:rowOff>85725</xdr:rowOff>
    </xdr:to>
    <xdr:cxnSp macro="">
      <xdr:nvCxnSpPr>
        <xdr:cNvPr id="295" name="Elbow Connector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CxnSpPr>
          <a:stCxn id="81" idx="6"/>
          <a:endCxn id="86" idx="6"/>
        </xdr:cNvCxnSpPr>
      </xdr:nvCxnSpPr>
      <xdr:spPr>
        <a:xfrm flipV="1">
          <a:off x="9666755" y="3829050"/>
          <a:ext cx="9525" cy="638175"/>
        </a:xfrm>
        <a:prstGeom prst="bentConnector3">
          <a:avLst>
            <a:gd name="adj1" fmla="val 250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18</xdr:row>
      <xdr:rowOff>76200</xdr:rowOff>
    </xdr:from>
    <xdr:to>
      <xdr:col>17</xdr:col>
      <xdr:colOff>28577</xdr:colOff>
      <xdr:row>20</xdr:row>
      <xdr:rowOff>152400</xdr:rowOff>
    </xdr:to>
    <xdr:cxnSp macro="">
      <xdr:nvCxnSpPr>
        <xdr:cNvPr id="300" name="Elbow Connector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CxnSpPr/>
      </xdr:nvCxnSpPr>
      <xdr:spPr>
        <a:xfrm rot="10800000" flipV="1">
          <a:off x="8448675" y="3695700"/>
          <a:ext cx="1333502" cy="457200"/>
        </a:xfrm>
        <a:prstGeom prst="bentConnector3">
          <a:avLst>
            <a:gd name="adj1" fmla="val 118571"/>
          </a:avLst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219075</xdr:colOff>
      <xdr:row>22</xdr:row>
      <xdr:rowOff>152400</xdr:rowOff>
    </xdr:from>
    <xdr:to>
      <xdr:col>17</xdr:col>
      <xdr:colOff>57150</xdr:colOff>
      <xdr:row>22</xdr:row>
      <xdr:rowOff>161925</xdr:rowOff>
    </xdr:to>
    <xdr:cxnSp macro="">
      <xdr:nvCxnSpPr>
        <xdr:cNvPr id="306" name="Straight Arrow Connector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CxnSpPr/>
      </xdr:nvCxnSpPr>
      <xdr:spPr>
        <a:xfrm>
          <a:off x="8753475" y="4533900"/>
          <a:ext cx="1057275" cy="952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523876</xdr:colOff>
      <xdr:row>24</xdr:row>
      <xdr:rowOff>19051</xdr:rowOff>
    </xdr:from>
    <xdr:to>
      <xdr:col>17</xdr:col>
      <xdr:colOff>79058</xdr:colOff>
      <xdr:row>25</xdr:row>
      <xdr:rowOff>142637</xdr:rowOff>
    </xdr:to>
    <xdr:cxnSp macro="">
      <xdr:nvCxnSpPr>
        <xdr:cNvPr id="309" name="Elbow Connector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CxnSpPr>
          <a:stCxn id="16" idx="3"/>
        </xdr:cNvCxnSpPr>
      </xdr:nvCxnSpPr>
      <xdr:spPr>
        <a:xfrm rot="5400000" flipH="1">
          <a:off x="8983624" y="4246603"/>
          <a:ext cx="314086" cy="1383982"/>
        </a:xfrm>
        <a:prstGeom prst="bentConnector4">
          <a:avLst>
            <a:gd name="adj1" fmla="val -30326"/>
            <a:gd name="adj2" fmla="val 99967"/>
          </a:avLst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228600</xdr:colOff>
      <xdr:row>19</xdr:row>
      <xdr:rowOff>95250</xdr:rowOff>
    </xdr:from>
    <xdr:to>
      <xdr:col>17</xdr:col>
      <xdr:colOff>19050</xdr:colOff>
      <xdr:row>19</xdr:row>
      <xdr:rowOff>95250</xdr:rowOff>
    </xdr:to>
    <xdr:cxnSp macro="">
      <xdr:nvCxnSpPr>
        <xdr:cNvPr id="310" name="Straight Arrow Connector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CxnSpPr/>
      </xdr:nvCxnSpPr>
      <xdr:spPr>
        <a:xfrm>
          <a:off x="8763000" y="3905250"/>
          <a:ext cx="1009650" cy="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552450</xdr:colOff>
      <xdr:row>12</xdr:row>
      <xdr:rowOff>19050</xdr:rowOff>
    </xdr:from>
    <xdr:to>
      <xdr:col>10</xdr:col>
      <xdr:colOff>104775</xdr:colOff>
      <xdr:row>12</xdr:row>
      <xdr:rowOff>152400</xdr:rowOff>
    </xdr:to>
    <xdr:grpSp>
      <xdr:nvGrpSpPr>
        <xdr:cNvPr id="312" name="Group 322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GrpSpPr>
          <a:grpSpLocks/>
        </xdr:cNvGrpSpPr>
      </xdr:nvGrpSpPr>
      <xdr:grpSpPr bwMode="auto">
        <a:xfrm>
          <a:off x="5457825" y="2305050"/>
          <a:ext cx="161925" cy="133350"/>
          <a:chOff x="2933" y="2069"/>
          <a:chExt cx="175" cy="59"/>
        </a:xfrm>
      </xdr:grpSpPr>
      <xdr:sp macro="" textlink="">
        <xdr:nvSpPr>
          <xdr:cNvPr id="313" name="Oval 323">
            <a:extLst>
              <a:ext uri="{FF2B5EF4-FFF2-40B4-BE49-F238E27FC236}">
                <a16:creationId xmlns:a16="http://schemas.microsoft.com/office/drawing/2014/main" id="{00000000-0008-0000-0600-00003901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4" name="Oval 324">
            <a:extLst>
              <a:ext uri="{FF2B5EF4-FFF2-40B4-BE49-F238E27FC236}">
                <a16:creationId xmlns:a16="http://schemas.microsoft.com/office/drawing/2014/main" id="{00000000-0008-0000-0600-00003A01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5" name="Rectangle 325">
            <a:extLst>
              <a:ext uri="{FF2B5EF4-FFF2-40B4-BE49-F238E27FC236}">
                <a16:creationId xmlns:a16="http://schemas.microsoft.com/office/drawing/2014/main" id="{00000000-0008-0000-0600-00003B01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23350</xdr:colOff>
      <xdr:row>12</xdr:row>
      <xdr:rowOff>152400</xdr:rowOff>
    </xdr:from>
    <xdr:to>
      <xdr:col>10</xdr:col>
      <xdr:colOff>28575</xdr:colOff>
      <xdr:row>14</xdr:row>
      <xdr:rowOff>19050</xdr:rowOff>
    </xdr:to>
    <xdr:cxnSp macro="">
      <xdr:nvCxnSpPr>
        <xdr:cNvPr id="317" name="Straight Arrow Connector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CxnSpPr>
          <a:endCxn id="315" idx="2"/>
        </xdr:cNvCxnSpPr>
      </xdr:nvCxnSpPr>
      <xdr:spPr>
        <a:xfrm flipH="1" flipV="1">
          <a:off x="5509750" y="2628900"/>
          <a:ext cx="522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23350</xdr:colOff>
      <xdr:row>7</xdr:row>
      <xdr:rowOff>123826</xdr:rowOff>
    </xdr:from>
    <xdr:to>
      <xdr:col>12</xdr:col>
      <xdr:colOff>1</xdr:colOff>
      <xdr:row>12</xdr:row>
      <xdr:rowOff>19051</xdr:rowOff>
    </xdr:to>
    <xdr:cxnSp macro="">
      <xdr:nvCxnSpPr>
        <xdr:cNvPr id="321" name="Elbow Connector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CxnSpPr>
          <a:stCxn id="315" idx="0"/>
          <a:endCxn id="64" idx="2"/>
        </xdr:cNvCxnSpPr>
      </xdr:nvCxnSpPr>
      <xdr:spPr>
        <a:xfrm rot="5400000" flipH="1" flipV="1">
          <a:off x="5683813" y="1473763"/>
          <a:ext cx="847725" cy="1195851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285751</xdr:colOff>
      <xdr:row>7</xdr:row>
      <xdr:rowOff>123825</xdr:rowOff>
    </xdr:from>
    <xdr:to>
      <xdr:col>16</xdr:col>
      <xdr:colOff>590551</xdr:colOff>
      <xdr:row>9</xdr:row>
      <xdr:rowOff>43355</xdr:rowOff>
    </xdr:to>
    <xdr:cxnSp macro="">
      <xdr:nvCxnSpPr>
        <xdr:cNvPr id="323" name="Elbow Connector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CxnSpPr>
          <a:stCxn id="64" idx="6"/>
          <a:endCxn id="6" idx="1"/>
        </xdr:cNvCxnSpPr>
      </xdr:nvCxnSpPr>
      <xdr:spPr>
        <a:xfrm>
          <a:off x="6991351" y="1647825"/>
          <a:ext cx="2743200" cy="30053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18</xdr:row>
      <xdr:rowOff>9525</xdr:rowOff>
    </xdr:from>
    <xdr:to>
      <xdr:col>12</xdr:col>
      <xdr:colOff>190500</xdr:colOff>
      <xdr:row>18</xdr:row>
      <xdr:rowOff>161925</xdr:rowOff>
    </xdr:to>
    <xdr:grpSp>
      <xdr:nvGrpSpPr>
        <xdr:cNvPr id="331" name="Group 95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GrpSpPr>
          <a:grpSpLocks/>
        </xdr:cNvGrpSpPr>
      </xdr:nvGrpSpPr>
      <xdr:grpSpPr bwMode="auto">
        <a:xfrm>
          <a:off x="6829425" y="3438525"/>
          <a:ext cx="142875" cy="152400"/>
          <a:chOff x="8751" y="1601"/>
          <a:chExt cx="38" cy="42"/>
        </a:xfrm>
      </xdr:grpSpPr>
      <xdr:sp macro="" textlink="">
        <xdr:nvSpPr>
          <xdr:cNvPr id="332" name="Rectangle 96">
            <a:extLst>
              <a:ext uri="{FF2B5EF4-FFF2-40B4-BE49-F238E27FC236}">
                <a16:creationId xmlns:a16="http://schemas.microsoft.com/office/drawing/2014/main" id="{00000000-0008-0000-0600-00004C01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333" name="Group 97">
            <a:extLst>
              <a:ext uri="{FF2B5EF4-FFF2-40B4-BE49-F238E27FC236}">
                <a16:creationId xmlns:a16="http://schemas.microsoft.com/office/drawing/2014/main" id="{00000000-0008-0000-0600-00004D01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337" name="AutoShape 98">
              <a:extLst>
                <a:ext uri="{FF2B5EF4-FFF2-40B4-BE49-F238E27FC236}">
                  <a16:creationId xmlns:a16="http://schemas.microsoft.com/office/drawing/2014/main" id="{00000000-0008-0000-0600-000051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38" name="Rectangle 99">
              <a:extLst>
                <a:ext uri="{FF2B5EF4-FFF2-40B4-BE49-F238E27FC236}">
                  <a16:creationId xmlns:a16="http://schemas.microsoft.com/office/drawing/2014/main" id="{00000000-0008-0000-0600-00005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39" name="Rectangle 100">
              <a:extLst>
                <a:ext uri="{FF2B5EF4-FFF2-40B4-BE49-F238E27FC236}">
                  <a16:creationId xmlns:a16="http://schemas.microsoft.com/office/drawing/2014/main" id="{00000000-0008-0000-0600-00005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334" name="Group 101">
            <a:extLst>
              <a:ext uri="{FF2B5EF4-FFF2-40B4-BE49-F238E27FC236}">
                <a16:creationId xmlns:a16="http://schemas.microsoft.com/office/drawing/2014/main" id="{00000000-0008-0000-0600-00004E01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335" name="Rectangle 102">
              <a:extLst>
                <a:ext uri="{FF2B5EF4-FFF2-40B4-BE49-F238E27FC236}">
                  <a16:creationId xmlns:a16="http://schemas.microsoft.com/office/drawing/2014/main" id="{00000000-0008-0000-0600-00004F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36" name="AutoShape 103">
              <a:extLst>
                <a:ext uri="{FF2B5EF4-FFF2-40B4-BE49-F238E27FC236}">
                  <a16:creationId xmlns:a16="http://schemas.microsoft.com/office/drawing/2014/main" id="{00000000-0008-0000-0600-00005001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13</xdr:col>
      <xdr:colOff>114300</xdr:colOff>
      <xdr:row>7</xdr:row>
      <xdr:rowOff>9525</xdr:rowOff>
    </xdr:from>
    <xdr:to>
      <xdr:col>13</xdr:col>
      <xdr:colOff>257175</xdr:colOff>
      <xdr:row>7</xdr:row>
      <xdr:rowOff>161925</xdr:rowOff>
    </xdr:to>
    <xdr:grpSp>
      <xdr:nvGrpSpPr>
        <xdr:cNvPr id="340" name="Group 95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GrpSpPr>
          <a:grpSpLocks/>
        </xdr:cNvGrpSpPr>
      </xdr:nvGrpSpPr>
      <xdr:grpSpPr bwMode="auto">
        <a:xfrm>
          <a:off x="7581900" y="1343025"/>
          <a:ext cx="142875" cy="152400"/>
          <a:chOff x="8751" y="1601"/>
          <a:chExt cx="38" cy="42"/>
        </a:xfrm>
      </xdr:grpSpPr>
      <xdr:sp macro="" textlink="">
        <xdr:nvSpPr>
          <xdr:cNvPr id="341" name="Rectangle 96">
            <a:extLst>
              <a:ext uri="{FF2B5EF4-FFF2-40B4-BE49-F238E27FC236}">
                <a16:creationId xmlns:a16="http://schemas.microsoft.com/office/drawing/2014/main" id="{00000000-0008-0000-0600-00005501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342" name="Group 97">
            <a:extLst>
              <a:ext uri="{FF2B5EF4-FFF2-40B4-BE49-F238E27FC236}">
                <a16:creationId xmlns:a16="http://schemas.microsoft.com/office/drawing/2014/main" id="{00000000-0008-0000-0600-00005601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346" name="AutoShape 98">
              <a:extLst>
                <a:ext uri="{FF2B5EF4-FFF2-40B4-BE49-F238E27FC236}">
                  <a16:creationId xmlns:a16="http://schemas.microsoft.com/office/drawing/2014/main" id="{00000000-0008-0000-0600-00005A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47" name="Rectangle 99">
              <a:extLst>
                <a:ext uri="{FF2B5EF4-FFF2-40B4-BE49-F238E27FC236}">
                  <a16:creationId xmlns:a16="http://schemas.microsoft.com/office/drawing/2014/main" id="{00000000-0008-0000-0600-00005B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48" name="Rectangle 100">
              <a:extLst>
                <a:ext uri="{FF2B5EF4-FFF2-40B4-BE49-F238E27FC236}">
                  <a16:creationId xmlns:a16="http://schemas.microsoft.com/office/drawing/2014/main" id="{00000000-0008-0000-0600-00005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343" name="Group 101">
            <a:extLst>
              <a:ext uri="{FF2B5EF4-FFF2-40B4-BE49-F238E27FC236}">
                <a16:creationId xmlns:a16="http://schemas.microsoft.com/office/drawing/2014/main" id="{00000000-0008-0000-0600-00005701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344" name="Rectangle 102">
              <a:extLst>
                <a:ext uri="{FF2B5EF4-FFF2-40B4-BE49-F238E27FC236}">
                  <a16:creationId xmlns:a16="http://schemas.microsoft.com/office/drawing/2014/main" id="{00000000-0008-0000-0600-000058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45" name="AutoShape 103">
              <a:extLst>
                <a:ext uri="{FF2B5EF4-FFF2-40B4-BE49-F238E27FC236}">
                  <a16:creationId xmlns:a16="http://schemas.microsoft.com/office/drawing/2014/main" id="{00000000-0008-0000-0600-00005901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3</xdr:col>
      <xdr:colOff>114300</xdr:colOff>
      <xdr:row>16</xdr:row>
      <xdr:rowOff>76200</xdr:rowOff>
    </xdr:from>
    <xdr:to>
      <xdr:col>3</xdr:col>
      <xdr:colOff>329381</xdr:colOff>
      <xdr:row>17</xdr:row>
      <xdr:rowOff>102829</xdr:rowOff>
    </xdr:to>
    <xdr:sp macro="" textlink="">
      <xdr:nvSpPr>
        <xdr:cNvPr id="268" name="Oval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/>
      </xdr:nvSpPr>
      <xdr:spPr>
        <a:xfrm>
          <a:off x="1943100" y="31242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215081</xdr:colOff>
      <xdr:row>2</xdr:row>
      <xdr:rowOff>26629</xdr:rowOff>
    </xdr:to>
    <xdr:sp macro="" textlink="">
      <xdr:nvSpPr>
        <xdr:cNvPr id="270" name="Oval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/>
      </xdr:nvSpPr>
      <xdr:spPr>
        <a:xfrm>
          <a:off x="6096000" y="1905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3</xdr:col>
      <xdr:colOff>114300</xdr:colOff>
      <xdr:row>20</xdr:row>
      <xdr:rowOff>0</xdr:rowOff>
    </xdr:from>
    <xdr:to>
      <xdr:col>3</xdr:col>
      <xdr:colOff>329381</xdr:colOff>
      <xdr:row>21</xdr:row>
      <xdr:rowOff>26629</xdr:rowOff>
    </xdr:to>
    <xdr:sp macro="" textlink="">
      <xdr:nvSpPr>
        <xdr:cNvPr id="271" name="Oval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/>
      </xdr:nvSpPr>
      <xdr:spPr>
        <a:xfrm>
          <a:off x="1943100" y="3810000"/>
          <a:ext cx="215081" cy="21712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/>
            <a:t>3</a:t>
          </a:r>
        </a:p>
      </xdr:txBody>
    </xdr:sp>
    <xdr:clientData/>
  </xdr:twoCellAnchor>
  <xdr:twoCellAnchor>
    <xdr:from>
      <xdr:col>13</xdr:col>
      <xdr:colOff>9525</xdr:colOff>
      <xdr:row>2</xdr:row>
      <xdr:rowOff>95250</xdr:rowOff>
    </xdr:from>
    <xdr:to>
      <xdr:col>13</xdr:col>
      <xdr:colOff>209550</xdr:colOff>
      <xdr:row>3</xdr:row>
      <xdr:rowOff>38100</xdr:rowOff>
    </xdr:to>
    <xdr:grpSp>
      <xdr:nvGrpSpPr>
        <xdr:cNvPr id="272" name="Group 322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GrpSpPr>
          <a:grpSpLocks/>
        </xdr:cNvGrpSpPr>
      </xdr:nvGrpSpPr>
      <xdr:grpSpPr bwMode="auto">
        <a:xfrm>
          <a:off x="7477125" y="476250"/>
          <a:ext cx="200025" cy="133350"/>
          <a:chOff x="2933" y="2069"/>
          <a:chExt cx="175" cy="59"/>
        </a:xfrm>
      </xdr:grpSpPr>
      <xdr:sp macro="" textlink="">
        <xdr:nvSpPr>
          <xdr:cNvPr id="274" name="Oval 323">
            <a:extLst>
              <a:ext uri="{FF2B5EF4-FFF2-40B4-BE49-F238E27FC236}">
                <a16:creationId xmlns:a16="http://schemas.microsoft.com/office/drawing/2014/main" id="{00000000-0008-0000-0600-00001201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5" name="Oval 324">
            <a:extLst>
              <a:ext uri="{FF2B5EF4-FFF2-40B4-BE49-F238E27FC236}">
                <a16:creationId xmlns:a16="http://schemas.microsoft.com/office/drawing/2014/main" id="{00000000-0008-0000-0600-00001301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7" name="Rectangle 325">
            <a:extLst>
              <a:ext uri="{FF2B5EF4-FFF2-40B4-BE49-F238E27FC236}">
                <a16:creationId xmlns:a16="http://schemas.microsoft.com/office/drawing/2014/main" id="{00000000-0008-0000-0600-00001501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209550</xdr:colOff>
      <xdr:row>1</xdr:row>
      <xdr:rowOff>133350</xdr:rowOff>
    </xdr:from>
    <xdr:to>
      <xdr:col>14</xdr:col>
      <xdr:colOff>542925</xdr:colOff>
      <xdr:row>2</xdr:row>
      <xdr:rowOff>161925</xdr:rowOff>
    </xdr:to>
    <xdr:cxnSp macro="">
      <xdr:nvCxnSpPr>
        <xdr:cNvPr id="278" name="Elbow Connector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CxnSpPr>
          <a:stCxn id="274" idx="6"/>
        </xdr:cNvCxnSpPr>
      </xdr:nvCxnSpPr>
      <xdr:spPr>
        <a:xfrm flipV="1">
          <a:off x="8410575" y="323850"/>
          <a:ext cx="942975" cy="219075"/>
        </a:xfrm>
        <a:prstGeom prst="bentConnector3">
          <a:avLst>
            <a:gd name="adj1" fmla="val 50000"/>
          </a:avLst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108965</xdr:colOff>
      <xdr:row>3</xdr:row>
      <xdr:rowOff>38100</xdr:rowOff>
    </xdr:from>
    <xdr:to>
      <xdr:col>14</xdr:col>
      <xdr:colOff>581024</xdr:colOff>
      <xdr:row>4</xdr:row>
      <xdr:rowOff>95250</xdr:rowOff>
    </xdr:to>
    <xdr:cxnSp macro="">
      <xdr:nvCxnSpPr>
        <xdr:cNvPr id="279" name="Elbow Connector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CxnSpPr>
          <a:stCxn id="277" idx="2"/>
        </xdr:cNvCxnSpPr>
      </xdr:nvCxnSpPr>
      <xdr:spPr>
        <a:xfrm rot="16200000" flipH="1">
          <a:off x="8726995" y="192595"/>
          <a:ext cx="247650" cy="1081659"/>
        </a:xfrm>
        <a:prstGeom prst="bentConnector2">
          <a:avLst/>
        </a:prstGeom>
        <a:ln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9</xdr:row>
      <xdr:rowOff>71437</xdr:rowOff>
    </xdr:from>
    <xdr:to>
      <xdr:col>10</xdr:col>
      <xdr:colOff>311150</xdr:colOff>
      <xdr:row>9</xdr:row>
      <xdr:rowOff>80973</xdr:rowOff>
    </xdr:to>
    <xdr:cxnSp macro="">
      <xdr:nvCxnSpPr>
        <xdr:cNvPr id="234" name="Straight Arrow Connector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CxnSpPr>
          <a:stCxn id="225" idx="3"/>
          <a:endCxn id="237" idx="2"/>
        </xdr:cNvCxnSpPr>
      </xdr:nvCxnSpPr>
      <xdr:spPr>
        <a:xfrm flipV="1">
          <a:off x="3838575" y="1785937"/>
          <a:ext cx="2463800" cy="95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123825</xdr:rowOff>
    </xdr:from>
    <xdr:to>
      <xdr:col>14</xdr:col>
      <xdr:colOff>590550</xdr:colOff>
      <xdr:row>17</xdr:row>
      <xdr:rowOff>28575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GrpSpPr/>
      </xdr:nvGrpSpPr>
      <xdr:grpSpPr>
        <a:xfrm>
          <a:off x="8724900" y="2981325"/>
          <a:ext cx="295275" cy="285750"/>
          <a:chOff x="609600" y="11658600"/>
          <a:chExt cx="566738" cy="561975"/>
        </a:xfrm>
      </xdr:grpSpPr>
      <xdr:sp macro="" textlink="">
        <xdr:nvSpPr>
          <xdr:cNvPr id="64" name="Oval 323"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11658600"/>
            <a:ext cx="533401" cy="56197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65" name="Straight Connector 64">
            <a:extLst>
              <a:ext uri="{FF2B5EF4-FFF2-40B4-BE49-F238E27FC236}">
                <a16:creationId xmlns:a16="http://schemas.microsoft.com/office/drawing/2014/main" id="{00000000-0008-0000-0700-000041000000}"/>
              </a:ext>
            </a:extLst>
          </xdr:cNvPr>
          <xdr:cNvCxnSpPr/>
        </xdr:nvCxnSpPr>
        <xdr:spPr bwMode="auto">
          <a:xfrm flipV="1">
            <a:off x="609600" y="11853863"/>
            <a:ext cx="266700" cy="3333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6" name="Straight Arrow Connector 65"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CxnSpPr/>
        </xdr:nvCxnSpPr>
        <xdr:spPr bwMode="auto">
          <a:xfrm flipV="1">
            <a:off x="904875" y="11682413"/>
            <a:ext cx="271463" cy="314325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CxnSpPr/>
        </xdr:nvCxnSpPr>
        <xdr:spPr bwMode="auto">
          <a:xfrm>
            <a:off x="871538" y="11849100"/>
            <a:ext cx="33337" cy="14287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485775</xdr:colOff>
      <xdr:row>9</xdr:row>
      <xdr:rowOff>19050</xdr:rowOff>
    </xdr:from>
    <xdr:to>
      <xdr:col>5</xdr:col>
      <xdr:colOff>76200</xdr:colOff>
      <xdr:row>9</xdr:row>
      <xdr:rowOff>152400</xdr:rowOff>
    </xdr:to>
    <xdr:grpSp>
      <xdr:nvGrpSpPr>
        <xdr:cNvPr id="68" name="Group 322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GrpSpPr>
          <a:grpSpLocks/>
        </xdr:cNvGrpSpPr>
      </xdr:nvGrpSpPr>
      <xdr:grpSpPr bwMode="auto">
        <a:xfrm>
          <a:off x="2857500" y="1733550"/>
          <a:ext cx="200025" cy="133350"/>
          <a:chOff x="2933" y="2069"/>
          <a:chExt cx="175" cy="59"/>
        </a:xfrm>
      </xdr:grpSpPr>
      <xdr:sp macro="" textlink="">
        <xdr:nvSpPr>
          <xdr:cNvPr id="69" name="Oval 323"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0" name="Oval 324">
            <a:extLst>
              <a:ext uri="{FF2B5EF4-FFF2-40B4-BE49-F238E27FC236}">
                <a16:creationId xmlns:a16="http://schemas.microsoft.com/office/drawing/2014/main" id="{00000000-0008-0000-07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1" name="Rectangle 325">
            <a:extLst>
              <a:ext uri="{FF2B5EF4-FFF2-40B4-BE49-F238E27FC236}">
                <a16:creationId xmlns:a16="http://schemas.microsoft.com/office/drawing/2014/main" id="{00000000-0008-0000-07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171450</xdr:colOff>
      <xdr:row>9</xdr:row>
      <xdr:rowOff>0</xdr:rowOff>
    </xdr:from>
    <xdr:to>
      <xdr:col>3</xdr:col>
      <xdr:colOff>419100</xdr:colOff>
      <xdr:row>10</xdr:row>
      <xdr:rowOff>63500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GrpSpPr/>
      </xdr:nvGrpSpPr>
      <xdr:grpSpPr>
        <a:xfrm>
          <a:off x="2000250" y="1714500"/>
          <a:ext cx="247650" cy="254000"/>
          <a:chOff x="7924800" y="3089275"/>
          <a:chExt cx="431800" cy="473075"/>
        </a:xfrm>
      </xdr:grpSpPr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00000000-0008-0000-0700-000065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102" name="Rectangle 101">
            <a:extLst>
              <a:ext uri="{FF2B5EF4-FFF2-40B4-BE49-F238E27FC236}">
                <a16:creationId xmlns:a16="http://schemas.microsoft.com/office/drawing/2014/main" id="{00000000-0008-0000-0700-000066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103" name="Line 110">
            <a:extLst>
              <a:ext uri="{FF2B5EF4-FFF2-40B4-BE49-F238E27FC236}">
                <a16:creationId xmlns:a16="http://schemas.microsoft.com/office/drawing/2014/main" id="{00000000-0008-0000-0700-000067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" name="Line 111">
            <a:extLst>
              <a:ext uri="{FF2B5EF4-FFF2-40B4-BE49-F238E27FC236}">
                <a16:creationId xmlns:a16="http://schemas.microsoft.com/office/drawing/2014/main" id="{00000000-0008-0000-0700-000068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" name="Line 112">
            <a:extLst>
              <a:ext uri="{FF2B5EF4-FFF2-40B4-BE49-F238E27FC236}">
                <a16:creationId xmlns:a16="http://schemas.microsoft.com/office/drawing/2014/main" id="{00000000-0008-0000-0700-000069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106" name="Straight Connector 105">
            <a:extLst>
              <a:ext uri="{FF2B5EF4-FFF2-40B4-BE49-F238E27FC236}">
                <a16:creationId xmlns:a16="http://schemas.microsoft.com/office/drawing/2014/main" id="{00000000-0008-0000-0700-00006A000000}"/>
              </a:ext>
            </a:extLst>
          </xdr:cNvPr>
          <xdr:cNvCxnSpPr>
            <a:stCxn id="102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07" name="Straight Connector 106">
            <a:extLst>
              <a:ext uri="{FF2B5EF4-FFF2-40B4-BE49-F238E27FC236}">
                <a16:creationId xmlns:a16="http://schemas.microsoft.com/office/drawing/2014/main" id="{00000000-0008-0000-0700-00006B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180974</xdr:colOff>
      <xdr:row>8</xdr:row>
      <xdr:rowOff>161925</xdr:rowOff>
    </xdr:from>
    <xdr:to>
      <xdr:col>8</xdr:col>
      <xdr:colOff>228599</xdr:colOff>
      <xdr:row>10</xdr:row>
      <xdr:rowOff>104775</xdr:rowOff>
    </xdr:to>
    <xdr:grpSp>
      <xdr:nvGrpSpPr>
        <xdr:cNvPr id="108" name="Group 122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GrpSpPr>
          <a:grpSpLocks/>
        </xdr:cNvGrpSpPr>
      </xdr:nvGrpSpPr>
      <xdr:grpSpPr bwMode="auto">
        <a:xfrm flipH="1">
          <a:off x="4686299" y="1685925"/>
          <a:ext cx="657225" cy="323850"/>
          <a:chOff x="982" y="878"/>
          <a:chExt cx="215" cy="70"/>
        </a:xfrm>
      </xdr:grpSpPr>
      <xdr:grpSp>
        <xdr:nvGrpSpPr>
          <xdr:cNvPr id="109" name="Group 123">
            <a:extLst>
              <a:ext uri="{FF2B5EF4-FFF2-40B4-BE49-F238E27FC236}">
                <a16:creationId xmlns:a16="http://schemas.microsoft.com/office/drawing/2014/main" id="{00000000-0008-0000-0700-00006D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111" name="Group 124">
              <a:extLst>
                <a:ext uri="{FF2B5EF4-FFF2-40B4-BE49-F238E27FC236}">
                  <a16:creationId xmlns:a16="http://schemas.microsoft.com/office/drawing/2014/main" id="{00000000-0008-0000-0700-00006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127" name="Group 125">
                <a:extLst>
                  <a:ext uri="{FF2B5EF4-FFF2-40B4-BE49-F238E27FC236}">
                    <a16:creationId xmlns:a16="http://schemas.microsoft.com/office/drawing/2014/main" id="{00000000-0008-0000-0700-00007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159" name="Group 126">
                  <a:extLst>
                    <a:ext uri="{FF2B5EF4-FFF2-40B4-BE49-F238E27FC236}">
                      <a16:creationId xmlns:a16="http://schemas.microsoft.com/office/drawing/2014/main" id="{00000000-0008-0000-0700-00009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69" name="Line 127">
                    <a:extLst>
                      <a:ext uri="{FF2B5EF4-FFF2-40B4-BE49-F238E27FC236}">
                        <a16:creationId xmlns:a16="http://schemas.microsoft.com/office/drawing/2014/main" id="{00000000-0008-0000-0700-0000A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70" name="Line 128">
                    <a:extLst>
                      <a:ext uri="{FF2B5EF4-FFF2-40B4-BE49-F238E27FC236}">
                        <a16:creationId xmlns:a16="http://schemas.microsoft.com/office/drawing/2014/main" id="{00000000-0008-0000-0700-0000A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60" name="Group 129">
                  <a:extLst>
                    <a:ext uri="{FF2B5EF4-FFF2-40B4-BE49-F238E27FC236}">
                      <a16:creationId xmlns:a16="http://schemas.microsoft.com/office/drawing/2014/main" id="{00000000-0008-0000-0700-0000A0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67" name="Line 130">
                    <a:extLst>
                      <a:ext uri="{FF2B5EF4-FFF2-40B4-BE49-F238E27FC236}">
                        <a16:creationId xmlns:a16="http://schemas.microsoft.com/office/drawing/2014/main" id="{00000000-0008-0000-0700-0000A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68" name="Line 131">
                    <a:extLst>
                      <a:ext uri="{FF2B5EF4-FFF2-40B4-BE49-F238E27FC236}">
                        <a16:creationId xmlns:a16="http://schemas.microsoft.com/office/drawing/2014/main" id="{00000000-0008-0000-0700-0000A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61" name="Group 132">
                  <a:extLst>
                    <a:ext uri="{FF2B5EF4-FFF2-40B4-BE49-F238E27FC236}">
                      <a16:creationId xmlns:a16="http://schemas.microsoft.com/office/drawing/2014/main" id="{00000000-0008-0000-0700-0000A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65" name="Line 133">
                    <a:extLst>
                      <a:ext uri="{FF2B5EF4-FFF2-40B4-BE49-F238E27FC236}">
                        <a16:creationId xmlns:a16="http://schemas.microsoft.com/office/drawing/2014/main" id="{00000000-0008-0000-0700-0000A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66" name="Line 134">
                    <a:extLst>
                      <a:ext uri="{FF2B5EF4-FFF2-40B4-BE49-F238E27FC236}">
                        <a16:creationId xmlns:a16="http://schemas.microsoft.com/office/drawing/2014/main" id="{00000000-0008-0000-0700-0000A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62" name="Group 135">
                  <a:extLst>
                    <a:ext uri="{FF2B5EF4-FFF2-40B4-BE49-F238E27FC236}">
                      <a16:creationId xmlns:a16="http://schemas.microsoft.com/office/drawing/2014/main" id="{00000000-0008-0000-0700-0000A2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63" name="Line 136">
                    <a:extLst>
                      <a:ext uri="{FF2B5EF4-FFF2-40B4-BE49-F238E27FC236}">
                        <a16:creationId xmlns:a16="http://schemas.microsoft.com/office/drawing/2014/main" id="{00000000-0008-0000-0700-0000A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64" name="Line 137">
                    <a:extLst>
                      <a:ext uri="{FF2B5EF4-FFF2-40B4-BE49-F238E27FC236}">
                        <a16:creationId xmlns:a16="http://schemas.microsoft.com/office/drawing/2014/main" id="{00000000-0008-0000-0700-0000A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128" name="Group 138">
                <a:extLst>
                  <a:ext uri="{FF2B5EF4-FFF2-40B4-BE49-F238E27FC236}">
                    <a16:creationId xmlns:a16="http://schemas.microsoft.com/office/drawing/2014/main" id="{00000000-0008-0000-0700-00008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147" name="Group 139">
                  <a:extLst>
                    <a:ext uri="{FF2B5EF4-FFF2-40B4-BE49-F238E27FC236}">
                      <a16:creationId xmlns:a16="http://schemas.microsoft.com/office/drawing/2014/main" id="{00000000-0008-0000-0700-000093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57" name="Line 140">
                    <a:extLst>
                      <a:ext uri="{FF2B5EF4-FFF2-40B4-BE49-F238E27FC236}">
                        <a16:creationId xmlns:a16="http://schemas.microsoft.com/office/drawing/2014/main" id="{00000000-0008-0000-0700-00009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8" name="Line 141">
                    <a:extLst>
                      <a:ext uri="{FF2B5EF4-FFF2-40B4-BE49-F238E27FC236}">
                        <a16:creationId xmlns:a16="http://schemas.microsoft.com/office/drawing/2014/main" id="{00000000-0008-0000-0700-00009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48" name="Group 142">
                  <a:extLst>
                    <a:ext uri="{FF2B5EF4-FFF2-40B4-BE49-F238E27FC236}">
                      <a16:creationId xmlns:a16="http://schemas.microsoft.com/office/drawing/2014/main" id="{00000000-0008-0000-0700-00009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55" name="Line 143">
                    <a:extLst>
                      <a:ext uri="{FF2B5EF4-FFF2-40B4-BE49-F238E27FC236}">
                        <a16:creationId xmlns:a16="http://schemas.microsoft.com/office/drawing/2014/main" id="{00000000-0008-0000-0700-00009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6" name="Line 144">
                    <a:extLst>
                      <a:ext uri="{FF2B5EF4-FFF2-40B4-BE49-F238E27FC236}">
                        <a16:creationId xmlns:a16="http://schemas.microsoft.com/office/drawing/2014/main" id="{00000000-0008-0000-0700-00009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49" name="Group 145">
                  <a:extLst>
                    <a:ext uri="{FF2B5EF4-FFF2-40B4-BE49-F238E27FC236}">
                      <a16:creationId xmlns:a16="http://schemas.microsoft.com/office/drawing/2014/main" id="{00000000-0008-0000-0700-00009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53" name="Line 146">
                    <a:extLst>
                      <a:ext uri="{FF2B5EF4-FFF2-40B4-BE49-F238E27FC236}">
                        <a16:creationId xmlns:a16="http://schemas.microsoft.com/office/drawing/2014/main" id="{00000000-0008-0000-0700-00009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4" name="Line 147">
                    <a:extLst>
                      <a:ext uri="{FF2B5EF4-FFF2-40B4-BE49-F238E27FC236}">
                        <a16:creationId xmlns:a16="http://schemas.microsoft.com/office/drawing/2014/main" id="{00000000-0008-0000-0700-00009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50" name="Group 148">
                  <a:extLst>
                    <a:ext uri="{FF2B5EF4-FFF2-40B4-BE49-F238E27FC236}">
                      <a16:creationId xmlns:a16="http://schemas.microsoft.com/office/drawing/2014/main" id="{00000000-0008-0000-0700-00009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51" name="Line 149">
                    <a:extLst>
                      <a:ext uri="{FF2B5EF4-FFF2-40B4-BE49-F238E27FC236}">
                        <a16:creationId xmlns:a16="http://schemas.microsoft.com/office/drawing/2014/main" id="{00000000-0008-0000-0700-00009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2" name="Line 150">
                    <a:extLst>
                      <a:ext uri="{FF2B5EF4-FFF2-40B4-BE49-F238E27FC236}">
                        <a16:creationId xmlns:a16="http://schemas.microsoft.com/office/drawing/2014/main" id="{00000000-0008-0000-0700-00009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129" name="Group 151">
                <a:extLst>
                  <a:ext uri="{FF2B5EF4-FFF2-40B4-BE49-F238E27FC236}">
                    <a16:creationId xmlns:a16="http://schemas.microsoft.com/office/drawing/2014/main" id="{00000000-0008-0000-0700-00008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131" name="Group 152">
                  <a:extLst>
                    <a:ext uri="{FF2B5EF4-FFF2-40B4-BE49-F238E27FC236}">
                      <a16:creationId xmlns:a16="http://schemas.microsoft.com/office/drawing/2014/main" id="{00000000-0008-0000-0700-000083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45" name="Line 153">
                    <a:extLst>
                      <a:ext uri="{FF2B5EF4-FFF2-40B4-BE49-F238E27FC236}">
                        <a16:creationId xmlns:a16="http://schemas.microsoft.com/office/drawing/2014/main" id="{00000000-0008-0000-0700-00009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6" name="Line 154">
                    <a:extLst>
                      <a:ext uri="{FF2B5EF4-FFF2-40B4-BE49-F238E27FC236}">
                        <a16:creationId xmlns:a16="http://schemas.microsoft.com/office/drawing/2014/main" id="{00000000-0008-0000-0700-00009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32" name="Group 155">
                  <a:extLst>
                    <a:ext uri="{FF2B5EF4-FFF2-40B4-BE49-F238E27FC236}">
                      <a16:creationId xmlns:a16="http://schemas.microsoft.com/office/drawing/2014/main" id="{00000000-0008-0000-0700-00008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43" name="Line 156">
                    <a:extLst>
                      <a:ext uri="{FF2B5EF4-FFF2-40B4-BE49-F238E27FC236}">
                        <a16:creationId xmlns:a16="http://schemas.microsoft.com/office/drawing/2014/main" id="{00000000-0008-0000-0700-00008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4" name="Line 157">
                    <a:extLst>
                      <a:ext uri="{FF2B5EF4-FFF2-40B4-BE49-F238E27FC236}">
                        <a16:creationId xmlns:a16="http://schemas.microsoft.com/office/drawing/2014/main" id="{00000000-0008-0000-0700-00009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33" name="Group 158">
                  <a:extLst>
                    <a:ext uri="{FF2B5EF4-FFF2-40B4-BE49-F238E27FC236}">
                      <a16:creationId xmlns:a16="http://schemas.microsoft.com/office/drawing/2014/main" id="{00000000-0008-0000-0700-00008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41" name="Line 159">
                    <a:extLst>
                      <a:ext uri="{FF2B5EF4-FFF2-40B4-BE49-F238E27FC236}">
                        <a16:creationId xmlns:a16="http://schemas.microsoft.com/office/drawing/2014/main" id="{00000000-0008-0000-0700-00008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2" name="Line 160">
                    <a:extLst>
                      <a:ext uri="{FF2B5EF4-FFF2-40B4-BE49-F238E27FC236}">
                        <a16:creationId xmlns:a16="http://schemas.microsoft.com/office/drawing/2014/main" id="{00000000-0008-0000-0700-00008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34" name="Group 161">
                  <a:extLst>
                    <a:ext uri="{FF2B5EF4-FFF2-40B4-BE49-F238E27FC236}">
                      <a16:creationId xmlns:a16="http://schemas.microsoft.com/office/drawing/2014/main" id="{00000000-0008-0000-0700-00008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39" name="Line 162">
                    <a:extLst>
                      <a:ext uri="{FF2B5EF4-FFF2-40B4-BE49-F238E27FC236}">
                        <a16:creationId xmlns:a16="http://schemas.microsoft.com/office/drawing/2014/main" id="{00000000-0008-0000-0700-00008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0" name="Line 163">
                    <a:extLst>
                      <a:ext uri="{FF2B5EF4-FFF2-40B4-BE49-F238E27FC236}">
                        <a16:creationId xmlns:a16="http://schemas.microsoft.com/office/drawing/2014/main" id="{00000000-0008-0000-0700-00008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35" name="Group 164">
                  <a:extLst>
                    <a:ext uri="{FF2B5EF4-FFF2-40B4-BE49-F238E27FC236}">
                      <a16:creationId xmlns:a16="http://schemas.microsoft.com/office/drawing/2014/main" id="{00000000-0008-0000-0700-00008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37" name="Line 165">
                    <a:extLst>
                      <a:ext uri="{FF2B5EF4-FFF2-40B4-BE49-F238E27FC236}">
                        <a16:creationId xmlns:a16="http://schemas.microsoft.com/office/drawing/2014/main" id="{00000000-0008-0000-0700-00008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38" name="Line 166">
                    <a:extLst>
                      <a:ext uri="{FF2B5EF4-FFF2-40B4-BE49-F238E27FC236}">
                        <a16:creationId xmlns:a16="http://schemas.microsoft.com/office/drawing/2014/main" id="{00000000-0008-0000-0700-00008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36" name="Line 167">
                  <a:extLst>
                    <a:ext uri="{FF2B5EF4-FFF2-40B4-BE49-F238E27FC236}">
                      <a16:creationId xmlns:a16="http://schemas.microsoft.com/office/drawing/2014/main" id="{00000000-0008-0000-0700-00008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30" name="Line 168">
                <a:extLst>
                  <a:ext uri="{FF2B5EF4-FFF2-40B4-BE49-F238E27FC236}">
                    <a16:creationId xmlns:a16="http://schemas.microsoft.com/office/drawing/2014/main" id="{00000000-0008-0000-0700-00008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12" name="Group 169">
              <a:extLst>
                <a:ext uri="{FF2B5EF4-FFF2-40B4-BE49-F238E27FC236}">
                  <a16:creationId xmlns:a16="http://schemas.microsoft.com/office/drawing/2014/main" id="{00000000-0008-0000-0700-00007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113" name="Rectangle 170">
                <a:extLst>
                  <a:ext uri="{FF2B5EF4-FFF2-40B4-BE49-F238E27FC236}">
                    <a16:creationId xmlns:a16="http://schemas.microsoft.com/office/drawing/2014/main" id="{00000000-0008-0000-0700-00007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val="969696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grpSp>
            <xdr:nvGrpSpPr>
              <xdr:cNvPr id="114" name="Group 171">
                <a:extLst>
                  <a:ext uri="{FF2B5EF4-FFF2-40B4-BE49-F238E27FC236}">
                    <a16:creationId xmlns:a16="http://schemas.microsoft.com/office/drawing/2014/main" id="{00000000-0008-0000-0700-00007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115" name="Oval 172">
                  <a:extLst>
                    <a:ext uri="{FF2B5EF4-FFF2-40B4-BE49-F238E27FC236}">
                      <a16:creationId xmlns:a16="http://schemas.microsoft.com/office/drawing/2014/main" id="{00000000-0008-0000-0700-00007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val="767676">
                        <a:gamma/>
                        <a:shade val="46275"/>
                        <a:invGamma/>
                      </a:srgbClr>
                    </a:gs>
                    <a:gs pos="50000">
                      <a:srgbClr val="FFFFFF"/>
                    </a:gs>
                    <a:gs pos="100000">
                      <a:srgbClr val="767676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116" name="Group 173">
                  <a:extLst>
                    <a:ext uri="{FF2B5EF4-FFF2-40B4-BE49-F238E27FC236}">
                      <a16:creationId xmlns:a16="http://schemas.microsoft.com/office/drawing/2014/main" id="{00000000-0008-0000-0700-00007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121" name="Group 174">
                    <a:extLst>
                      <a:ext uri="{FF2B5EF4-FFF2-40B4-BE49-F238E27FC236}">
                        <a16:creationId xmlns:a16="http://schemas.microsoft.com/office/drawing/2014/main" id="{00000000-0008-0000-0700-000079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125" name="Oval 175">
                      <a:extLst>
                        <a:ext uri="{FF2B5EF4-FFF2-40B4-BE49-F238E27FC236}">
                          <a16:creationId xmlns:a16="http://schemas.microsoft.com/office/drawing/2014/main" id="{00000000-0008-0000-0700-00007D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26" name="AutoShape 176">
                      <a:extLst>
                        <a:ext uri="{FF2B5EF4-FFF2-40B4-BE49-F238E27FC236}">
                          <a16:creationId xmlns:a16="http://schemas.microsoft.com/office/drawing/2014/main" id="{00000000-0008-0000-0700-00007E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122" name="Group 177">
                    <a:extLst>
                      <a:ext uri="{FF2B5EF4-FFF2-40B4-BE49-F238E27FC236}">
                        <a16:creationId xmlns:a16="http://schemas.microsoft.com/office/drawing/2014/main" id="{00000000-0008-0000-0700-00007A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123" name="Oval 178">
                      <a:extLst>
                        <a:ext uri="{FF2B5EF4-FFF2-40B4-BE49-F238E27FC236}">
                          <a16:creationId xmlns:a16="http://schemas.microsoft.com/office/drawing/2014/main" id="{00000000-0008-0000-0700-00007B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24" name="AutoShape 179">
                      <a:extLst>
                        <a:ext uri="{FF2B5EF4-FFF2-40B4-BE49-F238E27FC236}">
                          <a16:creationId xmlns:a16="http://schemas.microsoft.com/office/drawing/2014/main" id="{00000000-0008-0000-0700-00007C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val="FFFFFF"/>
                        </a:gs>
                        <a:gs pos="100000">
                          <a:srgbClr val="767676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117" name="Line 180">
                  <a:extLst>
                    <a:ext uri="{FF2B5EF4-FFF2-40B4-BE49-F238E27FC236}">
                      <a16:creationId xmlns:a16="http://schemas.microsoft.com/office/drawing/2014/main" id="{00000000-0008-0000-0700-00007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118" name="Group 181">
                  <a:extLst>
                    <a:ext uri="{FF2B5EF4-FFF2-40B4-BE49-F238E27FC236}">
                      <a16:creationId xmlns:a16="http://schemas.microsoft.com/office/drawing/2014/main" id="{00000000-0008-0000-0700-00007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119" name="Oval 182">
                    <a:extLst>
                      <a:ext uri="{FF2B5EF4-FFF2-40B4-BE49-F238E27FC236}">
                        <a16:creationId xmlns:a16="http://schemas.microsoft.com/office/drawing/2014/main" id="{00000000-0008-0000-0700-000077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120" name="Rectangle 183">
                    <a:extLst>
                      <a:ext uri="{FF2B5EF4-FFF2-40B4-BE49-F238E27FC236}">
                        <a16:creationId xmlns:a16="http://schemas.microsoft.com/office/drawing/2014/main" id="{00000000-0008-0000-0700-000078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val="767676">
                          <a:gamma/>
                          <a:shade val="46275"/>
                          <a:invGamma/>
                        </a:srgbClr>
                      </a:gs>
                      <a:gs pos="50000">
                        <a:srgbClr val="FFFFFF"/>
                      </a:gs>
                      <a:gs pos="100000">
                        <a:srgbClr val="767676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110" name="Rectangle 184">
            <a:extLst>
              <a:ext uri="{FF2B5EF4-FFF2-40B4-BE49-F238E27FC236}">
                <a16:creationId xmlns:a16="http://schemas.microsoft.com/office/drawing/2014/main" id="{00000000-0008-0000-0700-00006E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216804</xdr:colOff>
      <xdr:row>9</xdr:row>
      <xdr:rowOff>80973</xdr:rowOff>
    </xdr:from>
    <xdr:to>
      <xdr:col>3</xdr:col>
      <xdr:colOff>171450</xdr:colOff>
      <xdr:row>12</xdr:row>
      <xdr:rowOff>16122</xdr:rowOff>
    </xdr:to>
    <xdr:cxnSp macro="">
      <xdr:nvCxnSpPr>
        <xdr:cNvPr id="171" name="Elbow Connector 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CxnSpPr>
          <a:stCxn id="211" idx="1"/>
          <a:endCxn id="102" idx="1"/>
        </xdr:cNvCxnSpPr>
      </xdr:nvCxnSpPr>
      <xdr:spPr>
        <a:xfrm flipV="1">
          <a:off x="2655204" y="3319473"/>
          <a:ext cx="564246" cy="506649"/>
        </a:xfrm>
        <a:prstGeom prst="bentConnector3">
          <a:avLst>
            <a:gd name="adj1" fmla="val -14148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254000</xdr:colOff>
      <xdr:row>14</xdr:row>
      <xdr:rowOff>88900</xdr:rowOff>
    </xdr:to>
    <xdr:grpSp>
      <xdr:nvGrpSpPr>
        <xdr:cNvPr id="209" name="Group 322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GrpSpPr>
          <a:grpSpLocks/>
        </xdr:cNvGrpSpPr>
      </xdr:nvGrpSpPr>
      <xdr:grpSpPr bwMode="auto">
        <a:xfrm rot="5400000">
          <a:off x="1111250" y="2393950"/>
          <a:ext cx="469900" cy="254000"/>
          <a:chOff x="2933" y="2069"/>
          <a:chExt cx="175" cy="59"/>
        </a:xfrm>
      </xdr:grpSpPr>
      <xdr:sp macro="" textlink="">
        <xdr:nvSpPr>
          <xdr:cNvPr id="210" name="Oval 323">
            <a:extLst>
              <a:ext uri="{FF2B5EF4-FFF2-40B4-BE49-F238E27FC236}">
                <a16:creationId xmlns:a16="http://schemas.microsoft.com/office/drawing/2014/main" id="{00000000-0008-0000-0700-0000D2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1" name="Oval 324">
            <a:extLst>
              <a:ext uri="{FF2B5EF4-FFF2-40B4-BE49-F238E27FC236}">
                <a16:creationId xmlns:a16="http://schemas.microsoft.com/office/drawing/2014/main" id="{00000000-0008-0000-0700-0000D3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2" name="Rectangle 325">
            <a:extLst>
              <a:ext uri="{FF2B5EF4-FFF2-40B4-BE49-F238E27FC236}">
                <a16:creationId xmlns:a16="http://schemas.microsoft.com/office/drawing/2014/main" id="{00000000-0008-0000-0700-0000D4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419100</xdr:colOff>
      <xdr:row>9</xdr:row>
      <xdr:rowOff>76200</xdr:rowOff>
    </xdr:from>
    <xdr:to>
      <xdr:col>4</xdr:col>
      <xdr:colOff>504825</xdr:colOff>
      <xdr:row>9</xdr:row>
      <xdr:rowOff>80973</xdr:rowOff>
    </xdr:to>
    <xdr:cxnSp macro="">
      <xdr:nvCxnSpPr>
        <xdr:cNvPr id="222" name="Straight Arrow Connector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CxnSpPr>
          <a:stCxn id="102" idx="3"/>
        </xdr:cNvCxnSpPr>
      </xdr:nvCxnSpPr>
      <xdr:spPr>
        <a:xfrm flipV="1">
          <a:off x="3467100" y="3314700"/>
          <a:ext cx="695325" cy="47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247650</xdr:colOff>
      <xdr:row>10</xdr:row>
      <xdr:rowOff>63500</xdr:rowOff>
    </xdr:to>
    <xdr:grpSp>
      <xdr:nvGrpSpPr>
        <xdr:cNvPr id="223" name="Group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GrpSpPr/>
      </xdr:nvGrpSpPr>
      <xdr:grpSpPr>
        <a:xfrm>
          <a:off x="3590925" y="1714500"/>
          <a:ext cx="247650" cy="254000"/>
          <a:chOff x="7924800" y="3089275"/>
          <a:chExt cx="431800" cy="473075"/>
        </a:xfrm>
      </xdr:grpSpPr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00000000-0008-0000-0700-0000E0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25" name="Rectangle 224">
            <a:extLst>
              <a:ext uri="{FF2B5EF4-FFF2-40B4-BE49-F238E27FC236}">
                <a16:creationId xmlns:a16="http://schemas.microsoft.com/office/drawing/2014/main" id="{00000000-0008-0000-0700-0000E1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26" name="Line 110">
            <a:extLst>
              <a:ext uri="{FF2B5EF4-FFF2-40B4-BE49-F238E27FC236}">
                <a16:creationId xmlns:a16="http://schemas.microsoft.com/office/drawing/2014/main" id="{00000000-0008-0000-0700-0000E2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" name="Line 111">
            <a:extLst>
              <a:ext uri="{FF2B5EF4-FFF2-40B4-BE49-F238E27FC236}">
                <a16:creationId xmlns:a16="http://schemas.microsoft.com/office/drawing/2014/main" id="{00000000-0008-0000-0700-0000E3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" name="Line 112">
            <a:extLst>
              <a:ext uri="{FF2B5EF4-FFF2-40B4-BE49-F238E27FC236}">
                <a16:creationId xmlns:a16="http://schemas.microsoft.com/office/drawing/2014/main" id="{00000000-0008-0000-0700-0000E4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229" name="Straight Connector 228">
            <a:extLst>
              <a:ext uri="{FF2B5EF4-FFF2-40B4-BE49-F238E27FC236}">
                <a16:creationId xmlns:a16="http://schemas.microsoft.com/office/drawing/2014/main" id="{00000000-0008-0000-0700-0000E5000000}"/>
              </a:ext>
            </a:extLst>
          </xdr:cNvPr>
          <xdr:cNvCxnSpPr>
            <a:stCxn id="225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30" name="Straight Connector 229">
            <a:extLst>
              <a:ext uri="{FF2B5EF4-FFF2-40B4-BE49-F238E27FC236}">
                <a16:creationId xmlns:a16="http://schemas.microsoft.com/office/drawing/2014/main" id="{00000000-0008-0000-0700-0000E6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</xdr:col>
      <xdr:colOff>76200</xdr:colOff>
      <xdr:row>9</xdr:row>
      <xdr:rowOff>80973</xdr:rowOff>
    </xdr:from>
    <xdr:to>
      <xdr:col>6</xdr:col>
      <xdr:colOff>0</xdr:colOff>
      <xdr:row>9</xdr:row>
      <xdr:rowOff>85725</xdr:rowOff>
    </xdr:to>
    <xdr:cxnSp macro="">
      <xdr:nvCxnSpPr>
        <xdr:cNvPr id="232" name="Straight Arrow Connector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CxnSpPr>
          <a:stCxn id="69" idx="6"/>
          <a:endCxn id="225" idx="1"/>
        </xdr:cNvCxnSpPr>
      </xdr:nvCxnSpPr>
      <xdr:spPr>
        <a:xfrm flipV="1">
          <a:off x="4343400" y="3319473"/>
          <a:ext cx="533400" cy="47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311150</xdr:colOff>
      <xdr:row>8</xdr:row>
      <xdr:rowOff>152399</xdr:rowOff>
    </xdr:from>
    <xdr:to>
      <xdr:col>11</xdr:col>
      <xdr:colOff>66675</xdr:colOff>
      <xdr:row>9</xdr:row>
      <xdr:rowOff>180974</xdr:rowOff>
    </xdr:to>
    <xdr:grpSp>
      <xdr:nvGrpSpPr>
        <xdr:cNvPr id="235" name="Group 322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GrpSpPr>
          <a:grpSpLocks/>
        </xdr:cNvGrpSpPr>
      </xdr:nvGrpSpPr>
      <xdr:grpSpPr bwMode="auto">
        <a:xfrm>
          <a:off x="6302375" y="1676399"/>
          <a:ext cx="365125" cy="219075"/>
          <a:chOff x="2933" y="2069"/>
          <a:chExt cx="175" cy="59"/>
        </a:xfrm>
      </xdr:grpSpPr>
      <xdr:sp macro="" textlink="">
        <xdr:nvSpPr>
          <xdr:cNvPr id="236" name="Oval 323">
            <a:extLst>
              <a:ext uri="{FF2B5EF4-FFF2-40B4-BE49-F238E27FC236}">
                <a16:creationId xmlns:a16="http://schemas.microsoft.com/office/drawing/2014/main" id="{00000000-0008-0000-0700-0000EC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7" name="Oval 324">
            <a:extLst>
              <a:ext uri="{FF2B5EF4-FFF2-40B4-BE49-F238E27FC236}">
                <a16:creationId xmlns:a16="http://schemas.microsoft.com/office/drawing/2014/main" id="{00000000-0008-0000-07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8" name="Rectangle 325">
            <a:extLst>
              <a:ext uri="{FF2B5EF4-FFF2-40B4-BE49-F238E27FC236}">
                <a16:creationId xmlns:a16="http://schemas.microsoft.com/office/drawing/2014/main" id="{00000000-0008-0000-0700-0000EE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304800</xdr:colOff>
      <xdr:row>11</xdr:row>
      <xdr:rowOff>114300</xdr:rowOff>
    </xdr:from>
    <xdr:to>
      <xdr:col>12</xdr:col>
      <xdr:colOff>558800</xdr:colOff>
      <xdr:row>14</xdr:row>
      <xdr:rowOff>12700</xdr:rowOff>
    </xdr:to>
    <xdr:grpSp>
      <xdr:nvGrpSpPr>
        <xdr:cNvPr id="239" name="Group 322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GrpSpPr>
          <a:grpSpLocks/>
        </xdr:cNvGrpSpPr>
      </xdr:nvGrpSpPr>
      <xdr:grpSpPr bwMode="auto">
        <a:xfrm rot="5400000">
          <a:off x="7407275" y="2317750"/>
          <a:ext cx="469900" cy="254000"/>
          <a:chOff x="2933" y="2069"/>
          <a:chExt cx="175" cy="59"/>
        </a:xfrm>
      </xdr:grpSpPr>
      <xdr:sp macro="" textlink="">
        <xdr:nvSpPr>
          <xdr:cNvPr id="240" name="Oval 323">
            <a:extLst>
              <a:ext uri="{FF2B5EF4-FFF2-40B4-BE49-F238E27FC236}">
                <a16:creationId xmlns:a16="http://schemas.microsoft.com/office/drawing/2014/main" id="{00000000-0008-0000-0700-0000F000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1" name="Oval 324">
            <a:extLst>
              <a:ext uri="{FF2B5EF4-FFF2-40B4-BE49-F238E27FC236}">
                <a16:creationId xmlns:a16="http://schemas.microsoft.com/office/drawing/2014/main" id="{00000000-0008-0000-0700-0000F100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2" name="Rectangle 325">
            <a:extLst>
              <a:ext uri="{FF2B5EF4-FFF2-40B4-BE49-F238E27FC236}">
                <a16:creationId xmlns:a16="http://schemas.microsoft.com/office/drawing/2014/main" id="{00000000-0008-0000-0700-0000F200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11</xdr:col>
      <xdr:colOff>66675</xdr:colOff>
      <xdr:row>9</xdr:row>
      <xdr:rowOff>71437</xdr:rowOff>
    </xdr:from>
    <xdr:to>
      <xdr:col>12</xdr:col>
      <xdr:colOff>304800</xdr:colOff>
      <xdr:row>12</xdr:row>
      <xdr:rowOff>157408</xdr:rowOff>
    </xdr:to>
    <xdr:cxnSp macro="">
      <xdr:nvCxnSpPr>
        <xdr:cNvPr id="244" name="Elbow Connector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CxnSpPr>
          <a:stCxn id="236" idx="6"/>
          <a:endCxn id="242" idx="2"/>
        </xdr:cNvCxnSpPr>
      </xdr:nvCxnSpPr>
      <xdr:spPr>
        <a:xfrm>
          <a:off x="6667500" y="1785937"/>
          <a:ext cx="847725" cy="657471"/>
        </a:xfrm>
        <a:prstGeom prst="bentConnector3">
          <a:avLst>
            <a:gd name="adj1" fmla="val 1629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571500</xdr:colOff>
      <xdr:row>15</xdr:row>
      <xdr:rowOff>180975</xdr:rowOff>
    </xdr:from>
    <xdr:to>
      <xdr:col>13</xdr:col>
      <xdr:colOff>104775</xdr:colOff>
      <xdr:row>16</xdr:row>
      <xdr:rowOff>142875</xdr:rowOff>
    </xdr:to>
    <xdr:grpSp>
      <xdr:nvGrpSpPr>
        <xdr:cNvPr id="250" name="Group 95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GrpSpPr>
          <a:grpSpLocks/>
        </xdr:cNvGrpSpPr>
      </xdr:nvGrpSpPr>
      <xdr:grpSpPr bwMode="auto">
        <a:xfrm>
          <a:off x="7781925" y="3038475"/>
          <a:ext cx="142875" cy="152400"/>
          <a:chOff x="8751" y="1601"/>
          <a:chExt cx="38" cy="42"/>
        </a:xfrm>
      </xdr:grpSpPr>
      <xdr:sp macro="" textlink="">
        <xdr:nvSpPr>
          <xdr:cNvPr id="251" name="Rectangle 96">
            <a:extLst>
              <a:ext uri="{FF2B5EF4-FFF2-40B4-BE49-F238E27FC236}">
                <a16:creationId xmlns:a16="http://schemas.microsoft.com/office/drawing/2014/main" id="{00000000-0008-0000-0700-0000FB00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52" name="Group 97">
            <a:extLst>
              <a:ext uri="{FF2B5EF4-FFF2-40B4-BE49-F238E27FC236}">
                <a16:creationId xmlns:a16="http://schemas.microsoft.com/office/drawing/2014/main" id="{00000000-0008-0000-0700-0000FC00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256" name="AutoShape 98">
              <a:extLst>
                <a:ext uri="{FF2B5EF4-FFF2-40B4-BE49-F238E27FC236}">
                  <a16:creationId xmlns:a16="http://schemas.microsoft.com/office/drawing/2014/main" id="{00000000-0008-0000-0700-000000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7" name="Rectangle 99">
              <a:extLst>
                <a:ext uri="{FF2B5EF4-FFF2-40B4-BE49-F238E27FC236}">
                  <a16:creationId xmlns:a16="http://schemas.microsoft.com/office/drawing/2014/main" id="{00000000-0008-0000-0700-00000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8" name="Rectangle 100">
              <a:extLst>
                <a:ext uri="{FF2B5EF4-FFF2-40B4-BE49-F238E27FC236}">
                  <a16:creationId xmlns:a16="http://schemas.microsoft.com/office/drawing/2014/main" id="{00000000-0008-0000-0700-00000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253" name="Group 101">
            <a:extLst>
              <a:ext uri="{FF2B5EF4-FFF2-40B4-BE49-F238E27FC236}">
                <a16:creationId xmlns:a16="http://schemas.microsoft.com/office/drawing/2014/main" id="{00000000-0008-0000-0700-0000FD00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254" name="Rectangle 102">
              <a:extLst>
                <a:ext uri="{FF2B5EF4-FFF2-40B4-BE49-F238E27FC236}">
                  <a16:creationId xmlns:a16="http://schemas.microsoft.com/office/drawing/2014/main" id="{00000000-0008-0000-0700-0000F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5" name="AutoShape 103">
              <a:extLst>
                <a:ext uri="{FF2B5EF4-FFF2-40B4-BE49-F238E27FC236}">
                  <a16:creationId xmlns:a16="http://schemas.microsoft.com/office/drawing/2014/main" id="{00000000-0008-0000-0700-0000FF00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12</xdr:col>
      <xdr:colOff>431802</xdr:colOff>
      <xdr:row>14</xdr:row>
      <xdr:rowOff>12700</xdr:rowOff>
    </xdr:from>
    <xdr:to>
      <xdr:col>14</xdr:col>
      <xdr:colOff>295276</xdr:colOff>
      <xdr:row>16</xdr:row>
      <xdr:rowOff>76199</xdr:rowOff>
    </xdr:to>
    <xdr:cxnSp macro="">
      <xdr:nvCxnSpPr>
        <xdr:cNvPr id="260" name="Elbow Connector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CxnSpPr>
          <a:stCxn id="240" idx="6"/>
          <a:endCxn id="64" idx="2"/>
        </xdr:cNvCxnSpPr>
      </xdr:nvCxnSpPr>
      <xdr:spPr>
        <a:xfrm rot="16200000" flipH="1">
          <a:off x="7961314" y="2360613"/>
          <a:ext cx="444499" cy="1082674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43108</xdr:rowOff>
    </xdr:from>
    <xdr:to>
      <xdr:col>14</xdr:col>
      <xdr:colOff>573181</xdr:colOff>
      <xdr:row>16</xdr:row>
      <xdr:rowOff>76200</xdr:rowOff>
    </xdr:to>
    <xdr:cxnSp macro="">
      <xdr:nvCxnSpPr>
        <xdr:cNvPr id="264" name="Elbow Connector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CxnSpPr>
          <a:stCxn id="64" idx="6"/>
          <a:endCxn id="212" idx="2"/>
        </xdr:cNvCxnSpPr>
      </xdr:nvCxnSpPr>
      <xdr:spPr>
        <a:xfrm flipH="1" flipV="1">
          <a:off x="1219200" y="2519608"/>
          <a:ext cx="7783606" cy="604592"/>
        </a:xfrm>
        <a:prstGeom prst="bentConnector5">
          <a:avLst>
            <a:gd name="adj1" fmla="val -2937"/>
            <a:gd name="adj2" fmla="val -109382"/>
            <a:gd name="adj3" fmla="val 102937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585216</xdr:colOff>
      <xdr:row>9</xdr:row>
      <xdr:rowOff>19050</xdr:rowOff>
    </xdr:from>
    <xdr:to>
      <xdr:col>12</xdr:col>
      <xdr:colOff>431801</xdr:colOff>
      <xdr:row>11</xdr:row>
      <xdr:rowOff>114300</xdr:rowOff>
    </xdr:to>
    <xdr:cxnSp macro="">
      <xdr:nvCxnSpPr>
        <xdr:cNvPr id="267" name="Elbow Connector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CxnSpPr>
          <a:stCxn id="241" idx="2"/>
          <a:endCxn id="71" idx="0"/>
        </xdr:cNvCxnSpPr>
      </xdr:nvCxnSpPr>
      <xdr:spPr>
        <a:xfrm rot="16200000" flipV="1">
          <a:off x="6061584" y="1438782"/>
          <a:ext cx="476250" cy="4113785"/>
        </a:xfrm>
        <a:prstGeom prst="bentConnector3">
          <a:avLst>
            <a:gd name="adj1" fmla="val 252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419100</xdr:colOff>
      <xdr:row>12</xdr:row>
      <xdr:rowOff>47625</xdr:rowOff>
    </xdr:from>
    <xdr:to>
      <xdr:col>11</xdr:col>
      <xdr:colOff>561975</xdr:colOff>
      <xdr:row>13</xdr:row>
      <xdr:rowOff>9525</xdr:rowOff>
    </xdr:to>
    <xdr:grpSp>
      <xdr:nvGrpSpPr>
        <xdr:cNvPr id="270" name="Group 95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GrpSpPr>
          <a:grpSpLocks/>
        </xdr:cNvGrpSpPr>
      </xdr:nvGrpSpPr>
      <xdr:grpSpPr bwMode="auto">
        <a:xfrm>
          <a:off x="7019925" y="2333625"/>
          <a:ext cx="142875" cy="152400"/>
          <a:chOff x="8751" y="1601"/>
          <a:chExt cx="38" cy="42"/>
        </a:xfrm>
      </xdr:grpSpPr>
      <xdr:sp macro="" textlink="">
        <xdr:nvSpPr>
          <xdr:cNvPr id="271" name="Rectangle 96">
            <a:extLst>
              <a:ext uri="{FF2B5EF4-FFF2-40B4-BE49-F238E27FC236}">
                <a16:creationId xmlns:a16="http://schemas.microsoft.com/office/drawing/2014/main" id="{00000000-0008-0000-0700-00000F010000}"/>
              </a:ext>
            </a:extLst>
          </xdr:cNvPr>
          <xdr:cNvSpPr>
            <a:spLocks noChangeArrowheads="1"/>
          </xdr:cNvSpPr>
        </xdr:nvSpPr>
        <xdr:spPr bwMode="auto">
          <a:xfrm>
            <a:off x="8768" y="1611"/>
            <a:ext cx="4" cy="19"/>
          </a:xfrm>
          <a:prstGeom prst="rect">
            <a:avLst/>
          </a:prstGeom>
          <a:gradFill rotWithShape="0">
            <a:gsLst>
              <a:gs pos="0">
                <a:srgbClr val="18472F">
                  <a:gamma/>
                  <a:shade val="46275"/>
                  <a:invGamma/>
                </a:srgbClr>
              </a:gs>
              <a:gs pos="50000">
                <a:srgbClr val="339966"/>
              </a:gs>
              <a:gs pos="100000">
                <a:srgbClr val="18472F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72" name="Group 97">
            <a:extLst>
              <a:ext uri="{FF2B5EF4-FFF2-40B4-BE49-F238E27FC236}">
                <a16:creationId xmlns:a16="http://schemas.microsoft.com/office/drawing/2014/main" id="{00000000-0008-0000-0700-000010010000}"/>
              </a:ext>
            </a:extLst>
          </xdr:cNvPr>
          <xdr:cNvGrpSpPr>
            <a:grpSpLocks/>
          </xdr:cNvGrpSpPr>
        </xdr:nvGrpSpPr>
        <xdr:grpSpPr bwMode="auto">
          <a:xfrm>
            <a:off x="8751" y="1620"/>
            <a:ext cx="38" cy="23"/>
            <a:chOff x="8752" y="1620"/>
            <a:chExt cx="38" cy="23"/>
          </a:xfrm>
        </xdr:grpSpPr>
        <xdr:sp macro="" textlink="">
          <xdr:nvSpPr>
            <xdr:cNvPr id="276" name="AutoShape 98">
              <a:extLst>
                <a:ext uri="{FF2B5EF4-FFF2-40B4-BE49-F238E27FC236}">
                  <a16:creationId xmlns:a16="http://schemas.microsoft.com/office/drawing/2014/main" id="{00000000-0008-0000-0700-000014010000}"/>
                </a:ext>
              </a:extLst>
            </xdr:cNvPr>
            <xdr:cNvSpPr>
              <a:spLocks noChangeArrowheads="1"/>
            </xdr:cNvSpPr>
          </xdr:nvSpPr>
          <xdr:spPr bwMode="auto">
            <a:xfrm rot="5511562">
              <a:off x="8763" y="1615"/>
              <a:ext cx="16" cy="31"/>
            </a:xfrm>
            <a:prstGeom prst="flowChartCollate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77" name="Rectangle 99">
              <a:extLst>
                <a:ext uri="{FF2B5EF4-FFF2-40B4-BE49-F238E27FC236}">
                  <a16:creationId xmlns:a16="http://schemas.microsoft.com/office/drawing/2014/main" id="{00000000-0008-0000-0700-00001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2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78" name="Rectangle 100">
              <a:extLst>
                <a:ext uri="{FF2B5EF4-FFF2-40B4-BE49-F238E27FC236}">
                  <a16:creationId xmlns:a16="http://schemas.microsoft.com/office/drawing/2014/main" id="{00000000-0008-0000-0700-00001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86" y="1620"/>
              <a:ext cx="4" cy="23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273" name="Group 101">
            <a:extLst>
              <a:ext uri="{FF2B5EF4-FFF2-40B4-BE49-F238E27FC236}">
                <a16:creationId xmlns:a16="http://schemas.microsoft.com/office/drawing/2014/main" id="{00000000-0008-0000-0700-000011010000}"/>
              </a:ext>
            </a:extLst>
          </xdr:cNvPr>
          <xdr:cNvGrpSpPr>
            <a:grpSpLocks/>
          </xdr:cNvGrpSpPr>
        </xdr:nvGrpSpPr>
        <xdr:grpSpPr bwMode="auto">
          <a:xfrm>
            <a:off x="8754" y="1601"/>
            <a:ext cx="32" cy="14"/>
            <a:chOff x="8755" y="1601"/>
            <a:chExt cx="32" cy="14"/>
          </a:xfrm>
        </xdr:grpSpPr>
        <xdr:sp macro="" textlink="">
          <xdr:nvSpPr>
            <xdr:cNvPr id="274" name="Rectangle 102">
              <a:extLst>
                <a:ext uri="{FF2B5EF4-FFF2-40B4-BE49-F238E27FC236}">
                  <a16:creationId xmlns:a16="http://schemas.microsoft.com/office/drawing/2014/main" id="{00000000-0008-0000-0700-00001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755" y="1611"/>
              <a:ext cx="32" cy="4"/>
            </a:xfrm>
            <a:prstGeom prst="rect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75" name="AutoShape 103">
              <a:extLst>
                <a:ext uri="{FF2B5EF4-FFF2-40B4-BE49-F238E27FC236}">
                  <a16:creationId xmlns:a16="http://schemas.microsoft.com/office/drawing/2014/main" id="{00000000-0008-0000-0700-000013010000}"/>
                </a:ext>
              </a:extLst>
            </xdr:cNvPr>
            <xdr:cNvSpPr>
              <a:spLocks noChangeArrowheads="1"/>
            </xdr:cNvSpPr>
          </xdr:nvSpPr>
          <xdr:spPr bwMode="auto">
            <a:xfrm rot="16252885" flipV="1">
              <a:off x="8766" y="1591"/>
              <a:ext cx="10" cy="30"/>
            </a:xfrm>
            <a:prstGeom prst="flowChartDelay">
              <a:avLst/>
            </a:prstGeom>
            <a:gradFill rotWithShape="0">
              <a:gsLst>
                <a:gs pos="0">
                  <a:srgbClr val="18472F">
                    <a:gamma/>
                    <a:shade val="46275"/>
                    <a:invGamma/>
                  </a:srgbClr>
                </a:gs>
                <a:gs pos="50000">
                  <a:srgbClr val="339966"/>
                </a:gs>
                <a:gs pos="100000">
                  <a:srgbClr val="18472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237409</xdr:colOff>
      <xdr:row>39</xdr:row>
      <xdr:rowOff>121468</xdr:rowOff>
    </xdr:from>
    <xdr:to>
      <xdr:col>7</xdr:col>
      <xdr:colOff>237409</xdr:colOff>
      <xdr:row>44</xdr:row>
      <xdr:rowOff>12596</xdr:rowOff>
    </xdr:to>
    <xdr:grpSp>
      <xdr:nvGrpSpPr>
        <xdr:cNvPr id="2" name="Group 59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3218734" y="7550968"/>
          <a:ext cx="609600" cy="843628"/>
          <a:chOff x="997" y="134"/>
          <a:chExt cx="143" cy="138"/>
        </a:xfrm>
      </xdr:grpSpPr>
      <xdr:sp macro="" textlink="">
        <xdr:nvSpPr>
          <xdr:cNvPr id="3" name="Rectangle 587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AutoShape 590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27</xdr:row>
      <xdr:rowOff>9525</xdr:rowOff>
    </xdr:from>
    <xdr:to>
      <xdr:col>11</xdr:col>
      <xdr:colOff>95250</xdr:colOff>
      <xdr:row>30</xdr:row>
      <xdr:rowOff>0</xdr:rowOff>
    </xdr:to>
    <xdr:grpSp>
      <xdr:nvGrpSpPr>
        <xdr:cNvPr id="5" name="Group 32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>
          <a:grpSpLocks/>
        </xdr:cNvGrpSpPr>
      </xdr:nvGrpSpPr>
      <xdr:grpSpPr bwMode="auto">
        <a:xfrm>
          <a:off x="5486400" y="5153025"/>
          <a:ext cx="247650" cy="561975"/>
          <a:chOff x="2255" y="45"/>
          <a:chExt cx="49" cy="180"/>
        </a:xfrm>
      </xdr:grpSpPr>
      <xdr:sp macro="" textlink="">
        <xdr:nvSpPr>
          <xdr:cNvPr id="6" name="Oval 327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Rectangle 328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Oval 329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Rectangle 330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Rectangle 331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Line 332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337987</xdr:colOff>
      <xdr:row>30</xdr:row>
      <xdr:rowOff>163870</xdr:rowOff>
    </xdr:from>
    <xdr:to>
      <xdr:col>5</xdr:col>
      <xdr:colOff>432726</xdr:colOff>
      <xdr:row>32</xdr:row>
      <xdr:rowOff>189153</xdr:rowOff>
    </xdr:to>
    <xdr:grpSp>
      <xdr:nvGrpSpPr>
        <xdr:cNvPr id="12" name="Group 17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>
          <a:grpSpLocks/>
        </xdr:cNvGrpSpPr>
      </xdr:nvGrpSpPr>
      <xdr:grpSpPr bwMode="auto">
        <a:xfrm>
          <a:off x="2100112" y="5878870"/>
          <a:ext cx="704339" cy="406283"/>
          <a:chOff x="2734" y="1139"/>
          <a:chExt cx="198" cy="71"/>
        </a:xfrm>
      </xdr:grpSpPr>
      <xdr:grpSp>
        <xdr:nvGrpSpPr>
          <xdr:cNvPr id="13" name="Group 17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GrpSpPr>
            <a:grpSpLocks/>
          </xdr:cNvGrpSpPr>
        </xdr:nvGrpSpPr>
        <xdr:grpSpPr bwMode="auto">
          <a:xfrm>
            <a:off x="2734" y="1139"/>
            <a:ext cx="198" cy="39"/>
            <a:chOff x="85" y="879"/>
            <a:chExt cx="236" cy="50"/>
          </a:xfrm>
        </xdr:grpSpPr>
        <xdr:sp macro="" textlink="">
          <xdr:nvSpPr>
            <xdr:cNvPr id="17" name="Oval 173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5" y="879"/>
              <a:ext cx="48" cy="50"/>
            </a:xfrm>
            <a:prstGeom prst="ellipse">
              <a:avLst/>
            </a:prstGeom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18" name="Oval 174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3" y="879"/>
              <a:ext cx="48" cy="50"/>
            </a:xfrm>
            <a:prstGeom prst="ellipse">
              <a:avLst/>
            </a:prstGeom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19" name="Rectangle 175">
              <a:extLst>
                <a:ext uri="{FF2B5EF4-FFF2-40B4-BE49-F238E27FC236}">
                  <a16:creationId xmlns:a16="http://schemas.microsoft.com/office/drawing/2014/main" id="{00000000-0008-0000-0800-00001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9" y="879"/>
              <a:ext cx="189" cy="50"/>
            </a:xfrm>
            <a:prstGeom prst="rect">
              <a:avLst/>
            </a:prstGeom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grpSp>
        <xdr:nvGrpSpPr>
          <xdr:cNvPr id="14" name="Group 176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GrpSpPr>
            <a:grpSpLocks/>
          </xdr:cNvGrpSpPr>
        </xdr:nvGrpSpPr>
        <xdr:grpSpPr bwMode="auto">
          <a:xfrm>
            <a:off x="2874" y="1178"/>
            <a:ext cx="25" cy="32"/>
            <a:chOff x="2874" y="1178"/>
            <a:chExt cx="25" cy="32"/>
          </a:xfrm>
        </xdr:grpSpPr>
        <xdr:sp macro="" textlink="">
          <xdr:nvSpPr>
            <xdr:cNvPr id="15" name="Oval 177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4" y="1190"/>
              <a:ext cx="25" cy="20"/>
            </a:xfrm>
            <a:prstGeom prst="ellipse">
              <a:avLst/>
            </a:prstGeom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5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0" scaled="1"/>
            </a:gra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16" name="Rectangle 178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4" y="1178"/>
              <a:ext cx="25" cy="24"/>
            </a:xfrm>
            <a:prstGeom prst="rect">
              <a:avLst/>
            </a:prstGeom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5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</a:gsLst>
              <a:lin ang="0" scaled="1"/>
            </a:gra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9</xdr:col>
      <xdr:colOff>265983</xdr:colOff>
      <xdr:row>39</xdr:row>
      <xdr:rowOff>139803</xdr:rowOff>
    </xdr:from>
    <xdr:to>
      <xdr:col>10</xdr:col>
      <xdr:colOff>265983</xdr:colOff>
      <xdr:row>44</xdr:row>
      <xdr:rowOff>30931</xdr:rowOff>
    </xdr:to>
    <xdr:grpSp>
      <xdr:nvGrpSpPr>
        <xdr:cNvPr id="20" name="Group 59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pSpPr>
          <a:grpSpLocks/>
        </xdr:cNvGrpSpPr>
      </xdr:nvGrpSpPr>
      <xdr:grpSpPr bwMode="auto">
        <a:xfrm>
          <a:off x="4685583" y="7569303"/>
          <a:ext cx="609600" cy="843628"/>
          <a:chOff x="997" y="134"/>
          <a:chExt cx="143" cy="138"/>
        </a:xfrm>
      </xdr:grpSpPr>
      <xdr:sp macro="" textlink="">
        <xdr:nvSpPr>
          <xdr:cNvPr id="21" name="Rectangle 58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AutoShape 590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269741</xdr:colOff>
      <xdr:row>32</xdr:row>
      <xdr:rowOff>189152</xdr:rowOff>
    </xdr:from>
    <xdr:to>
      <xdr:col>6</xdr:col>
      <xdr:colOff>237410</xdr:colOff>
      <xdr:row>42</xdr:row>
      <xdr:rowOff>54265</xdr:rowOff>
    </xdr:to>
    <xdr:cxnSp macro="">
      <xdr:nvCxnSpPr>
        <xdr:cNvPr id="23" name="Elbow Connector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>
          <a:stCxn id="15" idx="4"/>
          <a:endCxn id="3" idx="1"/>
        </xdr:cNvCxnSpPr>
      </xdr:nvCxnSpPr>
      <xdr:spPr>
        <a:xfrm rot="16200000" flipH="1">
          <a:off x="2045044" y="6881574"/>
          <a:ext cx="1770113" cy="577269"/>
        </a:xfrm>
        <a:prstGeom prst="bentConnector2">
          <a:avLst/>
        </a:prstGeom>
        <a:ln>
          <a:solidFill>
            <a:schemeClr val="accent3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526868</xdr:colOff>
      <xdr:row>1</xdr:row>
      <xdr:rowOff>35549</xdr:rowOff>
    </xdr:from>
    <xdr:to>
      <xdr:col>7</xdr:col>
      <xdr:colOff>399435</xdr:colOff>
      <xdr:row>2</xdr:row>
      <xdr:rowOff>143388</xdr:rowOff>
    </xdr:to>
    <xdr:cxnSp macro="">
      <xdr:nvCxnSpPr>
        <xdr:cNvPr id="24" name="Elbow Connector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CxnSpPr>
          <a:stCxn id="235" idx="0"/>
          <a:endCxn id="250" idx="3"/>
        </xdr:cNvCxnSpPr>
      </xdr:nvCxnSpPr>
      <xdr:spPr>
        <a:xfrm rot="5400000" flipH="1" flipV="1">
          <a:off x="3600107" y="134135"/>
          <a:ext cx="298339" cy="48216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247650</xdr:colOff>
      <xdr:row>27</xdr:row>
      <xdr:rowOff>63500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GrpSpPr/>
      </xdr:nvGrpSpPr>
      <xdr:grpSpPr>
        <a:xfrm>
          <a:off x="6248400" y="4953000"/>
          <a:ext cx="247650" cy="254000"/>
          <a:chOff x="7924800" y="3089275"/>
          <a:chExt cx="431800" cy="473075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28" name="Line 110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9" name="Line 111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0" name="Line 112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CxnSpPr>
            <a:stCxn id="27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00000000-0008-0000-0800-000020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14</xdr:col>
      <xdr:colOff>0</xdr:colOff>
      <xdr:row>26</xdr:row>
      <xdr:rowOff>0</xdr:rowOff>
    </xdr:from>
    <xdr:to>
      <xdr:col>14</xdr:col>
      <xdr:colOff>247650</xdr:colOff>
      <xdr:row>27</xdr:row>
      <xdr:rowOff>63500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pSpPr/>
      </xdr:nvGrpSpPr>
      <xdr:grpSpPr>
        <a:xfrm>
          <a:off x="7467600" y="4953000"/>
          <a:ext cx="247650" cy="254000"/>
          <a:chOff x="7924800" y="3089275"/>
          <a:chExt cx="431800" cy="473075"/>
        </a:xfrm>
      </xdr:grpSpPr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800-000022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800-000023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36" name="Line 110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7" name="Line 111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8" name="Line 112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id="{00000000-0008-0000-0800-000027000000}"/>
              </a:ext>
            </a:extLst>
          </xdr:cNvPr>
          <xdr:cNvCxnSpPr>
            <a:stCxn id="35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0800-000028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247650</xdr:colOff>
      <xdr:row>27</xdr:row>
      <xdr:rowOff>63500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GrpSpPr/>
      </xdr:nvGrpSpPr>
      <xdr:grpSpPr>
        <a:xfrm>
          <a:off x="8686800" y="4953000"/>
          <a:ext cx="247650" cy="254000"/>
          <a:chOff x="7924800" y="3089275"/>
          <a:chExt cx="431800" cy="473075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800-00002A000000}"/>
              </a:ext>
            </a:extLst>
          </xdr:cNvPr>
          <xdr:cNvSpPr/>
        </xdr:nvSpPr>
        <xdr:spPr bwMode="auto">
          <a:xfrm>
            <a:off x="8101012" y="3386137"/>
            <a:ext cx="63500" cy="174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800-00002B000000}"/>
              </a:ext>
            </a:extLst>
          </xdr:cNvPr>
          <xdr:cNvSpPr/>
        </xdr:nvSpPr>
        <xdr:spPr bwMode="auto">
          <a:xfrm>
            <a:off x="7924800" y="3089275"/>
            <a:ext cx="431800" cy="3016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  <xdr:sp macro="" textlink="">
        <xdr:nvSpPr>
          <xdr:cNvPr id="44" name="Line 110">
            <a:extLst>
              <a:ext uri="{FF2B5EF4-FFF2-40B4-BE49-F238E27FC236}">
                <a16:creationId xmlns:a16="http://schemas.microsoft.com/office/drawing/2014/main" id="{00000000-0008-0000-08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287169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5" name="Line 111">
            <a:extLst>
              <a:ext uri="{FF2B5EF4-FFF2-40B4-BE49-F238E27FC236}">
                <a16:creationId xmlns:a16="http://schemas.microsoft.com/office/drawing/2014/main" id="{00000000-0008-0000-08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0660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6" name="Line 112">
            <a:extLst>
              <a:ext uri="{FF2B5EF4-FFF2-40B4-BE49-F238E27FC236}">
                <a16:creationId xmlns:a16="http://schemas.microsoft.com/office/drawing/2014/main" id="{00000000-0008-0000-08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7924800" y="3335753"/>
            <a:ext cx="4286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cxnSp macro="">
        <xdr:nvCxnSpPr>
          <xdr:cNvPr id="47" name="Straight Connector 46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CxnSpPr>
            <a:stCxn id="43" idx="1"/>
          </xdr:cNvCxnSpPr>
        </xdr:nvCxnSpPr>
        <xdr:spPr bwMode="auto">
          <a:xfrm>
            <a:off x="7924800" y="3240088"/>
            <a:ext cx="4763" cy="31273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48" name="Straight Connector 47"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CxnSpPr/>
        </xdr:nvCxnSpPr>
        <xdr:spPr bwMode="auto">
          <a:xfrm>
            <a:off x="8356600" y="3228975"/>
            <a:ext cx="0" cy="3333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13</xdr:col>
      <xdr:colOff>0</xdr:colOff>
      <xdr:row>27</xdr:row>
      <xdr:rowOff>0</xdr:rowOff>
    </xdr:from>
    <xdr:to>
      <xdr:col>13</xdr:col>
      <xdr:colOff>247650</xdr:colOff>
      <xdr:row>29</xdr:row>
      <xdr:rowOff>180975</xdr:rowOff>
    </xdr:to>
    <xdr:grpSp>
      <xdr:nvGrpSpPr>
        <xdr:cNvPr id="49" name="Group 326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GrpSpPr>
          <a:grpSpLocks/>
        </xdr:cNvGrpSpPr>
      </xdr:nvGrpSpPr>
      <xdr:grpSpPr bwMode="auto">
        <a:xfrm>
          <a:off x="6858000" y="5143500"/>
          <a:ext cx="247650" cy="561975"/>
          <a:chOff x="2255" y="45"/>
          <a:chExt cx="49" cy="180"/>
        </a:xfrm>
      </xdr:grpSpPr>
      <xdr:sp macro="" textlink="">
        <xdr:nvSpPr>
          <xdr:cNvPr id="50" name="Oval 327"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1" name="Rectangle 328"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" name="Oval 329"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" name="Rectangle 330">
            <a:extLst>
              <a:ext uri="{FF2B5EF4-FFF2-40B4-BE49-F238E27FC236}">
                <a16:creationId xmlns:a16="http://schemas.microsoft.com/office/drawing/2014/main" id="{00000000-0008-0000-08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" name="Rectangle 331">
            <a:extLst>
              <a:ext uri="{FF2B5EF4-FFF2-40B4-BE49-F238E27FC236}">
                <a16:creationId xmlns:a16="http://schemas.microsoft.com/office/drawing/2014/main" id="{00000000-0008-0000-08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" name="Line 332"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247650</xdr:colOff>
      <xdr:row>29</xdr:row>
      <xdr:rowOff>180975</xdr:rowOff>
    </xdr:to>
    <xdr:grpSp>
      <xdr:nvGrpSpPr>
        <xdr:cNvPr id="56" name="Group 326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GrpSpPr>
          <a:grpSpLocks/>
        </xdr:cNvGrpSpPr>
      </xdr:nvGrpSpPr>
      <xdr:grpSpPr bwMode="auto">
        <a:xfrm>
          <a:off x="8077200" y="5143500"/>
          <a:ext cx="247650" cy="561975"/>
          <a:chOff x="2255" y="45"/>
          <a:chExt cx="49" cy="180"/>
        </a:xfrm>
      </xdr:grpSpPr>
      <xdr:sp macro="" textlink="">
        <xdr:nvSpPr>
          <xdr:cNvPr id="57" name="Oval 327">
            <a:extLst>
              <a:ext uri="{FF2B5EF4-FFF2-40B4-BE49-F238E27FC236}">
                <a16:creationId xmlns:a16="http://schemas.microsoft.com/office/drawing/2014/main" id="{00000000-0008-0000-08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8" name="Rectangle 328">
            <a:extLst>
              <a:ext uri="{FF2B5EF4-FFF2-40B4-BE49-F238E27FC236}">
                <a16:creationId xmlns:a16="http://schemas.microsoft.com/office/drawing/2014/main" id="{00000000-0008-0000-08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Oval 329">
            <a:extLst>
              <a:ext uri="{FF2B5EF4-FFF2-40B4-BE49-F238E27FC236}">
                <a16:creationId xmlns:a16="http://schemas.microsoft.com/office/drawing/2014/main" id="{00000000-0008-0000-08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330">
            <a:extLst>
              <a:ext uri="{FF2B5EF4-FFF2-40B4-BE49-F238E27FC236}">
                <a16:creationId xmlns:a16="http://schemas.microsoft.com/office/drawing/2014/main" id="{00000000-0008-0000-08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1" name="Rectangle 331">
            <a:extLst>
              <a:ext uri="{FF2B5EF4-FFF2-40B4-BE49-F238E27FC236}">
                <a16:creationId xmlns:a16="http://schemas.microsoft.com/office/drawing/2014/main" id="{00000000-0008-0000-08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2" name="Line 332">
            <a:extLst>
              <a:ext uri="{FF2B5EF4-FFF2-40B4-BE49-F238E27FC236}">
                <a16:creationId xmlns:a16="http://schemas.microsoft.com/office/drawing/2014/main" id="{00000000-0008-0000-08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447265</xdr:colOff>
      <xdr:row>30</xdr:row>
      <xdr:rowOff>31817</xdr:rowOff>
    </xdr:from>
    <xdr:to>
      <xdr:col>4</xdr:col>
      <xdr:colOff>337987</xdr:colOff>
      <xdr:row>31</xdr:row>
      <xdr:rowOff>83108</xdr:rowOff>
    </xdr:to>
    <xdr:cxnSp macro="">
      <xdr:nvCxnSpPr>
        <xdr:cNvPr id="63" name="Elbow Connector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CxnSpPr>
          <a:stCxn id="159" idx="1"/>
          <a:endCxn id="17" idx="2"/>
        </xdr:cNvCxnSpPr>
      </xdr:nvCxnSpPr>
      <xdr:spPr>
        <a:xfrm>
          <a:off x="1599790" y="5746817"/>
          <a:ext cx="500322" cy="241791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583552</xdr:colOff>
      <xdr:row>26</xdr:row>
      <xdr:rowOff>80974</xdr:rowOff>
    </xdr:from>
    <xdr:to>
      <xdr:col>11</xdr:col>
      <xdr:colOff>609599</xdr:colOff>
      <xdr:row>27</xdr:row>
      <xdr:rowOff>9526</xdr:rowOff>
    </xdr:to>
    <xdr:cxnSp macro="">
      <xdr:nvCxnSpPr>
        <xdr:cNvPr id="64" name="Elbow Connector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CxnSpPr>
          <a:stCxn id="6" idx="0"/>
          <a:endCxn id="27" idx="1"/>
        </xdr:cNvCxnSpPr>
      </xdr:nvCxnSpPr>
      <xdr:spPr>
        <a:xfrm rot="5400000" flipH="1" flipV="1">
          <a:off x="5871050" y="4775676"/>
          <a:ext cx="119052" cy="6356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123825</xdr:colOff>
      <xdr:row>26</xdr:row>
      <xdr:rowOff>0</xdr:rowOff>
    </xdr:from>
    <xdr:to>
      <xdr:col>13</xdr:col>
      <xdr:colOff>40433</xdr:colOff>
      <xdr:row>28</xdr:row>
      <xdr:rowOff>63950</xdr:rowOff>
    </xdr:to>
    <xdr:cxnSp macro="">
      <xdr:nvCxnSpPr>
        <xdr:cNvPr id="65" name="Elbow Connector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CxnSpPr>
          <a:stCxn id="27" idx="0"/>
          <a:endCxn id="53" idx="1"/>
        </xdr:cNvCxnSpPr>
      </xdr:nvCxnSpPr>
      <xdr:spPr>
        <a:xfrm rot="16200000" flipH="1">
          <a:off x="6412854" y="4912371"/>
          <a:ext cx="444950" cy="526208"/>
        </a:xfrm>
        <a:prstGeom prst="bentConnector4">
          <a:avLst>
            <a:gd name="adj1" fmla="val -51377"/>
            <a:gd name="adj2" fmla="val 6176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126353</xdr:colOff>
      <xdr:row>26</xdr:row>
      <xdr:rowOff>80974</xdr:rowOff>
    </xdr:from>
    <xdr:to>
      <xdr:col>14</xdr:col>
      <xdr:colOff>0</xdr:colOff>
      <xdr:row>27</xdr:row>
      <xdr:rowOff>1</xdr:rowOff>
    </xdr:to>
    <xdr:cxnSp macro="">
      <xdr:nvCxnSpPr>
        <xdr:cNvPr id="66" name="Elbow Connector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CxnSpPr>
          <a:stCxn id="50" idx="0"/>
          <a:endCxn id="35" idx="1"/>
        </xdr:cNvCxnSpPr>
      </xdr:nvCxnSpPr>
      <xdr:spPr>
        <a:xfrm rot="5400000" flipH="1" flipV="1">
          <a:off x="7171213" y="4847114"/>
          <a:ext cx="109527" cy="4832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384984</xdr:colOff>
      <xdr:row>10</xdr:row>
      <xdr:rowOff>171438</xdr:rowOff>
    </xdr:from>
    <xdr:to>
      <xdr:col>14</xdr:col>
      <xdr:colOff>123825</xdr:colOff>
      <xdr:row>26</xdr:row>
      <xdr:rowOff>0</xdr:rowOff>
    </xdr:to>
    <xdr:cxnSp macro="">
      <xdr:nvCxnSpPr>
        <xdr:cNvPr id="67" name="Elbow Connector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CxnSpPr>
          <a:stCxn id="35" idx="0"/>
          <a:endCxn id="236" idx="1"/>
        </xdr:cNvCxnSpPr>
      </xdr:nvCxnSpPr>
      <xdr:spPr>
        <a:xfrm rot="16200000" flipV="1">
          <a:off x="4040586" y="1402161"/>
          <a:ext cx="2876562" cy="4225116"/>
        </a:xfrm>
        <a:prstGeom prst="bentConnector4">
          <a:avLst>
            <a:gd name="adj1" fmla="val 17874"/>
            <a:gd name="adj2" fmla="val 11716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126353</xdr:colOff>
      <xdr:row>26</xdr:row>
      <xdr:rowOff>80974</xdr:rowOff>
    </xdr:from>
    <xdr:to>
      <xdr:col>16</xdr:col>
      <xdr:colOff>0</xdr:colOff>
      <xdr:row>27</xdr:row>
      <xdr:rowOff>1</xdr:rowOff>
    </xdr:to>
    <xdr:cxnSp macro="">
      <xdr:nvCxnSpPr>
        <xdr:cNvPr id="68" name="Elbow Connector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CxnSpPr>
          <a:stCxn id="57" idx="0"/>
          <a:endCxn id="43" idx="1"/>
        </xdr:cNvCxnSpPr>
      </xdr:nvCxnSpPr>
      <xdr:spPr>
        <a:xfrm rot="5400000" flipH="1" flipV="1">
          <a:off x="8390413" y="4847114"/>
          <a:ext cx="109527" cy="4832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561975</xdr:colOff>
      <xdr:row>23</xdr:row>
      <xdr:rowOff>76200</xdr:rowOff>
    </xdr:from>
    <xdr:to>
      <xdr:col>18</xdr:col>
      <xdr:colOff>133350</xdr:colOff>
      <xdr:row>24</xdr:row>
      <xdr:rowOff>142875</xdr:rowOff>
    </xdr:to>
    <xdr:grpSp>
      <xdr:nvGrpSpPr>
        <xdr:cNvPr id="69" name="Group 9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GrpSpPr>
          <a:grpSpLocks/>
        </xdr:cNvGrpSpPr>
      </xdr:nvGrpSpPr>
      <xdr:grpSpPr bwMode="auto">
        <a:xfrm flipH="1">
          <a:off x="9248775" y="4457700"/>
          <a:ext cx="790575" cy="257175"/>
          <a:chOff x="982" y="878"/>
          <a:chExt cx="215" cy="70"/>
        </a:xfrm>
      </xdr:grpSpPr>
      <xdr:grpSp>
        <xdr:nvGrpSpPr>
          <xdr:cNvPr id="70" name="Group 92">
            <a:extLst>
              <a:ext uri="{FF2B5EF4-FFF2-40B4-BE49-F238E27FC236}">
                <a16:creationId xmlns:a16="http://schemas.microsoft.com/office/drawing/2014/main" id="{00000000-0008-0000-0800-000046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72" name="Group 93">
              <a:extLst>
                <a:ext uri="{FF2B5EF4-FFF2-40B4-BE49-F238E27FC236}">
                  <a16:creationId xmlns:a16="http://schemas.microsoft.com/office/drawing/2014/main" id="{00000000-0008-0000-0800-00004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88" name="Group 94">
                <a:extLst>
                  <a:ext uri="{FF2B5EF4-FFF2-40B4-BE49-F238E27FC236}">
                    <a16:creationId xmlns:a16="http://schemas.microsoft.com/office/drawing/2014/main" id="{00000000-0008-0000-0800-000058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120" name="Group 95">
                  <a:extLst>
                    <a:ext uri="{FF2B5EF4-FFF2-40B4-BE49-F238E27FC236}">
                      <a16:creationId xmlns:a16="http://schemas.microsoft.com/office/drawing/2014/main" id="{00000000-0008-0000-0800-000078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30" name="Line 96">
                    <a:extLst>
                      <a:ext uri="{FF2B5EF4-FFF2-40B4-BE49-F238E27FC236}">
                        <a16:creationId xmlns:a16="http://schemas.microsoft.com/office/drawing/2014/main" id="{00000000-0008-0000-0800-00008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31" name="Line 97">
                    <a:extLst>
                      <a:ext uri="{FF2B5EF4-FFF2-40B4-BE49-F238E27FC236}">
                        <a16:creationId xmlns:a16="http://schemas.microsoft.com/office/drawing/2014/main" id="{00000000-0008-0000-0800-00008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21" name="Group 98">
                  <a:extLst>
                    <a:ext uri="{FF2B5EF4-FFF2-40B4-BE49-F238E27FC236}">
                      <a16:creationId xmlns:a16="http://schemas.microsoft.com/office/drawing/2014/main" id="{00000000-0008-0000-0800-000079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28" name="Line 99">
                    <a:extLst>
                      <a:ext uri="{FF2B5EF4-FFF2-40B4-BE49-F238E27FC236}">
                        <a16:creationId xmlns:a16="http://schemas.microsoft.com/office/drawing/2014/main" id="{00000000-0008-0000-0800-00008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29" name="Line 100">
                    <a:extLst>
                      <a:ext uri="{FF2B5EF4-FFF2-40B4-BE49-F238E27FC236}">
                        <a16:creationId xmlns:a16="http://schemas.microsoft.com/office/drawing/2014/main" id="{00000000-0008-0000-0800-00008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22" name="Group 101">
                  <a:extLst>
                    <a:ext uri="{FF2B5EF4-FFF2-40B4-BE49-F238E27FC236}">
                      <a16:creationId xmlns:a16="http://schemas.microsoft.com/office/drawing/2014/main" id="{00000000-0008-0000-0800-00007A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26" name="Line 102">
                    <a:extLst>
                      <a:ext uri="{FF2B5EF4-FFF2-40B4-BE49-F238E27FC236}">
                        <a16:creationId xmlns:a16="http://schemas.microsoft.com/office/drawing/2014/main" id="{00000000-0008-0000-0800-00007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27" name="Line 103">
                    <a:extLst>
                      <a:ext uri="{FF2B5EF4-FFF2-40B4-BE49-F238E27FC236}">
                        <a16:creationId xmlns:a16="http://schemas.microsoft.com/office/drawing/2014/main" id="{00000000-0008-0000-0800-00007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23" name="Group 104">
                  <a:extLst>
                    <a:ext uri="{FF2B5EF4-FFF2-40B4-BE49-F238E27FC236}">
                      <a16:creationId xmlns:a16="http://schemas.microsoft.com/office/drawing/2014/main" id="{00000000-0008-0000-0800-00007B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24" name="Line 105">
                    <a:extLst>
                      <a:ext uri="{FF2B5EF4-FFF2-40B4-BE49-F238E27FC236}">
                        <a16:creationId xmlns:a16="http://schemas.microsoft.com/office/drawing/2014/main" id="{00000000-0008-0000-0800-00007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25" name="Line 106">
                    <a:extLst>
                      <a:ext uri="{FF2B5EF4-FFF2-40B4-BE49-F238E27FC236}">
                        <a16:creationId xmlns:a16="http://schemas.microsoft.com/office/drawing/2014/main" id="{00000000-0008-0000-0800-00007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89" name="Group 88">
                <a:extLst>
                  <a:ext uri="{FF2B5EF4-FFF2-40B4-BE49-F238E27FC236}">
                    <a16:creationId xmlns:a16="http://schemas.microsoft.com/office/drawing/2014/main" id="{00000000-0008-0000-0800-00005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108" name="Group 108">
                  <a:extLst>
                    <a:ext uri="{FF2B5EF4-FFF2-40B4-BE49-F238E27FC236}">
                      <a16:creationId xmlns:a16="http://schemas.microsoft.com/office/drawing/2014/main" id="{00000000-0008-0000-0800-00006C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8" name="Line 109">
                    <a:extLst>
                      <a:ext uri="{FF2B5EF4-FFF2-40B4-BE49-F238E27FC236}">
                        <a16:creationId xmlns:a16="http://schemas.microsoft.com/office/drawing/2014/main" id="{00000000-0008-0000-0800-00007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9" name="Line 110">
                    <a:extLst>
                      <a:ext uri="{FF2B5EF4-FFF2-40B4-BE49-F238E27FC236}">
                        <a16:creationId xmlns:a16="http://schemas.microsoft.com/office/drawing/2014/main" id="{00000000-0008-0000-0800-00007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09" name="Group 111">
                  <a:extLst>
                    <a:ext uri="{FF2B5EF4-FFF2-40B4-BE49-F238E27FC236}">
                      <a16:creationId xmlns:a16="http://schemas.microsoft.com/office/drawing/2014/main" id="{00000000-0008-0000-0800-00006D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6" name="Line 112">
                    <a:extLst>
                      <a:ext uri="{FF2B5EF4-FFF2-40B4-BE49-F238E27FC236}">
                        <a16:creationId xmlns:a16="http://schemas.microsoft.com/office/drawing/2014/main" id="{00000000-0008-0000-0800-00007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7" name="Line 113">
                    <a:extLst>
                      <a:ext uri="{FF2B5EF4-FFF2-40B4-BE49-F238E27FC236}">
                        <a16:creationId xmlns:a16="http://schemas.microsoft.com/office/drawing/2014/main" id="{00000000-0008-0000-0800-00007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10" name="Group 114">
                  <a:extLst>
                    <a:ext uri="{FF2B5EF4-FFF2-40B4-BE49-F238E27FC236}">
                      <a16:creationId xmlns:a16="http://schemas.microsoft.com/office/drawing/2014/main" id="{00000000-0008-0000-0800-00006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4" name="Line 115">
                    <a:extLst>
                      <a:ext uri="{FF2B5EF4-FFF2-40B4-BE49-F238E27FC236}">
                        <a16:creationId xmlns:a16="http://schemas.microsoft.com/office/drawing/2014/main" id="{00000000-0008-0000-0800-00007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5" name="Line 116">
                    <a:extLst>
                      <a:ext uri="{FF2B5EF4-FFF2-40B4-BE49-F238E27FC236}">
                        <a16:creationId xmlns:a16="http://schemas.microsoft.com/office/drawing/2014/main" id="{00000000-0008-0000-0800-00007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11" name="Group 117">
                  <a:extLst>
                    <a:ext uri="{FF2B5EF4-FFF2-40B4-BE49-F238E27FC236}">
                      <a16:creationId xmlns:a16="http://schemas.microsoft.com/office/drawing/2014/main" id="{00000000-0008-0000-0800-00006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12" name="Line 118">
                    <a:extLst>
                      <a:ext uri="{FF2B5EF4-FFF2-40B4-BE49-F238E27FC236}">
                        <a16:creationId xmlns:a16="http://schemas.microsoft.com/office/drawing/2014/main" id="{00000000-0008-0000-0800-00007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3" name="Line 119">
                    <a:extLst>
                      <a:ext uri="{FF2B5EF4-FFF2-40B4-BE49-F238E27FC236}">
                        <a16:creationId xmlns:a16="http://schemas.microsoft.com/office/drawing/2014/main" id="{00000000-0008-0000-0800-00007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" name="Group 120">
                <a:extLst>
                  <a:ext uri="{FF2B5EF4-FFF2-40B4-BE49-F238E27FC236}">
                    <a16:creationId xmlns:a16="http://schemas.microsoft.com/office/drawing/2014/main" id="{00000000-0008-0000-0800-00005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92" name="Group 121">
                  <a:extLst>
                    <a:ext uri="{FF2B5EF4-FFF2-40B4-BE49-F238E27FC236}">
                      <a16:creationId xmlns:a16="http://schemas.microsoft.com/office/drawing/2014/main" id="{00000000-0008-0000-0800-00005C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6" name="Line 122">
                    <a:extLst>
                      <a:ext uri="{FF2B5EF4-FFF2-40B4-BE49-F238E27FC236}">
                        <a16:creationId xmlns:a16="http://schemas.microsoft.com/office/drawing/2014/main" id="{00000000-0008-0000-0800-00006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7" name="Line 123">
                    <a:extLst>
                      <a:ext uri="{FF2B5EF4-FFF2-40B4-BE49-F238E27FC236}">
                        <a16:creationId xmlns:a16="http://schemas.microsoft.com/office/drawing/2014/main" id="{00000000-0008-0000-0800-00006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3" name="Group 124">
                  <a:extLst>
                    <a:ext uri="{FF2B5EF4-FFF2-40B4-BE49-F238E27FC236}">
                      <a16:creationId xmlns:a16="http://schemas.microsoft.com/office/drawing/2014/main" id="{00000000-0008-0000-0800-00005D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4" name="Line 125">
                    <a:extLst>
                      <a:ext uri="{FF2B5EF4-FFF2-40B4-BE49-F238E27FC236}">
                        <a16:creationId xmlns:a16="http://schemas.microsoft.com/office/drawing/2014/main" id="{00000000-0008-0000-0800-00006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5" name="Line 126">
                    <a:extLst>
                      <a:ext uri="{FF2B5EF4-FFF2-40B4-BE49-F238E27FC236}">
                        <a16:creationId xmlns:a16="http://schemas.microsoft.com/office/drawing/2014/main" id="{00000000-0008-0000-0800-00006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4" name="Group 127">
                  <a:extLst>
                    <a:ext uri="{FF2B5EF4-FFF2-40B4-BE49-F238E27FC236}">
                      <a16:creationId xmlns:a16="http://schemas.microsoft.com/office/drawing/2014/main" id="{00000000-0008-0000-0800-00005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2" name="Line 128">
                    <a:extLst>
                      <a:ext uri="{FF2B5EF4-FFF2-40B4-BE49-F238E27FC236}">
                        <a16:creationId xmlns:a16="http://schemas.microsoft.com/office/drawing/2014/main" id="{00000000-0008-0000-0800-00006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3" name="Line 129">
                    <a:extLst>
                      <a:ext uri="{FF2B5EF4-FFF2-40B4-BE49-F238E27FC236}">
                        <a16:creationId xmlns:a16="http://schemas.microsoft.com/office/drawing/2014/main" id="{00000000-0008-0000-0800-00006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5" name="Group 130">
                  <a:extLst>
                    <a:ext uri="{FF2B5EF4-FFF2-40B4-BE49-F238E27FC236}">
                      <a16:creationId xmlns:a16="http://schemas.microsoft.com/office/drawing/2014/main" id="{00000000-0008-0000-0800-00005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00" name="Line 131">
                    <a:extLst>
                      <a:ext uri="{FF2B5EF4-FFF2-40B4-BE49-F238E27FC236}">
                        <a16:creationId xmlns:a16="http://schemas.microsoft.com/office/drawing/2014/main" id="{00000000-0008-0000-0800-00006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1" name="Line 132">
                    <a:extLst>
                      <a:ext uri="{FF2B5EF4-FFF2-40B4-BE49-F238E27FC236}">
                        <a16:creationId xmlns:a16="http://schemas.microsoft.com/office/drawing/2014/main" id="{00000000-0008-0000-0800-00006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96" name="Group 133">
                  <a:extLst>
                    <a:ext uri="{FF2B5EF4-FFF2-40B4-BE49-F238E27FC236}">
                      <a16:creationId xmlns:a16="http://schemas.microsoft.com/office/drawing/2014/main" id="{00000000-0008-0000-0800-000060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98" name="Line 134">
                    <a:extLst>
                      <a:ext uri="{FF2B5EF4-FFF2-40B4-BE49-F238E27FC236}">
                        <a16:creationId xmlns:a16="http://schemas.microsoft.com/office/drawing/2014/main" id="{00000000-0008-0000-0800-00006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9" name="Line 135">
                    <a:extLst>
                      <a:ext uri="{FF2B5EF4-FFF2-40B4-BE49-F238E27FC236}">
                        <a16:creationId xmlns:a16="http://schemas.microsoft.com/office/drawing/2014/main" id="{00000000-0008-0000-0800-00006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97" name="Line 136">
                  <a:extLst>
                    <a:ext uri="{FF2B5EF4-FFF2-40B4-BE49-F238E27FC236}">
                      <a16:creationId xmlns:a16="http://schemas.microsoft.com/office/drawing/2014/main" id="{00000000-0008-0000-0800-00006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91" name="Line 137">
                <a:extLst>
                  <a:ext uri="{FF2B5EF4-FFF2-40B4-BE49-F238E27FC236}">
                    <a16:creationId xmlns:a16="http://schemas.microsoft.com/office/drawing/2014/main" id="{00000000-0008-0000-0800-00005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73" name="Group 138">
              <a:extLst>
                <a:ext uri="{FF2B5EF4-FFF2-40B4-BE49-F238E27FC236}">
                  <a16:creationId xmlns:a16="http://schemas.microsoft.com/office/drawing/2014/main" id="{00000000-0008-0000-0800-00004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74" name="Rectangle 139">
                <a:extLst>
                  <a:ext uri="{FF2B5EF4-FFF2-40B4-BE49-F238E27FC236}">
                    <a16:creationId xmlns:a16="http://schemas.microsoft.com/office/drawing/2014/main" id="{00000000-0008-0000-0800-00004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75" name="Group 140">
                <a:extLst>
                  <a:ext uri="{FF2B5EF4-FFF2-40B4-BE49-F238E27FC236}">
                    <a16:creationId xmlns:a16="http://schemas.microsoft.com/office/drawing/2014/main" id="{00000000-0008-0000-0800-00004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76" name="Oval 141">
                  <a:extLst>
                    <a:ext uri="{FF2B5EF4-FFF2-40B4-BE49-F238E27FC236}">
                      <a16:creationId xmlns:a16="http://schemas.microsoft.com/office/drawing/2014/main" id="{00000000-0008-0000-0800-00004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  <a:gs pos="50000">
                      <a:srgbClr xmlns:mc="http://schemas.openxmlformats.org/markup-compatibility/2006" xmlns:a14="http://schemas.microsoft.com/office/drawing/2010/main" val="FFFFFF" mc:Ignorable="a14" a14:legacySpreadsheetColorIndex="9"/>
                    </a:gs>
                    <a:gs pos="10000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77" name="Group 142">
                  <a:extLst>
                    <a:ext uri="{FF2B5EF4-FFF2-40B4-BE49-F238E27FC236}">
                      <a16:creationId xmlns:a16="http://schemas.microsoft.com/office/drawing/2014/main" id="{00000000-0008-0000-0800-00004D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82" name="Group 143">
                    <a:extLst>
                      <a:ext uri="{FF2B5EF4-FFF2-40B4-BE49-F238E27FC236}">
                        <a16:creationId xmlns:a16="http://schemas.microsoft.com/office/drawing/2014/main" id="{00000000-0008-0000-0800-000052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86" name="Oval 144">
                      <a:extLst>
                        <a:ext uri="{FF2B5EF4-FFF2-40B4-BE49-F238E27FC236}">
                          <a16:creationId xmlns:a16="http://schemas.microsoft.com/office/drawing/2014/main" id="{00000000-0008-0000-0800-000056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87" name="AutoShape 145">
                      <a:extLst>
                        <a:ext uri="{FF2B5EF4-FFF2-40B4-BE49-F238E27FC236}">
                          <a16:creationId xmlns:a16="http://schemas.microsoft.com/office/drawing/2014/main" id="{00000000-0008-0000-0800-000057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83" name="Group 146">
                    <a:extLst>
                      <a:ext uri="{FF2B5EF4-FFF2-40B4-BE49-F238E27FC236}">
                        <a16:creationId xmlns:a16="http://schemas.microsoft.com/office/drawing/2014/main" id="{00000000-0008-0000-0800-000053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84" name="Oval 147">
                      <a:extLst>
                        <a:ext uri="{FF2B5EF4-FFF2-40B4-BE49-F238E27FC236}">
                          <a16:creationId xmlns:a16="http://schemas.microsoft.com/office/drawing/2014/main" id="{00000000-0008-0000-0800-000054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85" name="AutoShape 148">
                      <a:extLst>
                        <a:ext uri="{FF2B5EF4-FFF2-40B4-BE49-F238E27FC236}">
                          <a16:creationId xmlns:a16="http://schemas.microsoft.com/office/drawing/2014/main" id="{00000000-0008-0000-0800-000055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78" name="Line 149">
                  <a:extLst>
                    <a:ext uri="{FF2B5EF4-FFF2-40B4-BE49-F238E27FC236}">
                      <a16:creationId xmlns:a16="http://schemas.microsoft.com/office/drawing/2014/main" id="{00000000-0008-0000-0800-00004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79" name="Group 150">
                  <a:extLst>
                    <a:ext uri="{FF2B5EF4-FFF2-40B4-BE49-F238E27FC236}">
                      <a16:creationId xmlns:a16="http://schemas.microsoft.com/office/drawing/2014/main" id="{00000000-0008-0000-0800-00004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80" name="Oval 151">
                    <a:extLst>
                      <a:ext uri="{FF2B5EF4-FFF2-40B4-BE49-F238E27FC236}">
                        <a16:creationId xmlns:a16="http://schemas.microsoft.com/office/drawing/2014/main" id="{00000000-0008-0000-0800-000050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81" name="Rectangle 152">
                    <a:extLst>
                      <a:ext uri="{FF2B5EF4-FFF2-40B4-BE49-F238E27FC236}">
                        <a16:creationId xmlns:a16="http://schemas.microsoft.com/office/drawing/2014/main" id="{00000000-0008-0000-0800-000051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71" name="Rectangle 153">
            <a:extLst>
              <a:ext uri="{FF2B5EF4-FFF2-40B4-BE49-F238E27FC236}">
                <a16:creationId xmlns:a16="http://schemas.microsoft.com/office/drawing/2014/main" id="{00000000-0008-0000-08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16</xdr:col>
      <xdr:colOff>123825</xdr:colOff>
      <xdr:row>23</xdr:row>
      <xdr:rowOff>171722</xdr:rowOff>
    </xdr:from>
    <xdr:to>
      <xdr:col>17</xdr:col>
      <xdr:colOff>5693</xdr:colOff>
      <xdr:row>26</xdr:row>
      <xdr:rowOff>0</xdr:rowOff>
    </xdr:to>
    <xdr:cxnSp macro="">
      <xdr:nvCxnSpPr>
        <xdr:cNvPr id="132" name="Elbow Connector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CxnSpPr>
          <a:stCxn id="43" idx="0"/>
          <a:endCxn id="71" idx="2"/>
        </xdr:cNvCxnSpPr>
      </xdr:nvCxnSpPr>
      <xdr:spPr>
        <a:xfrm rot="5400000" flipH="1" flipV="1">
          <a:off x="8856470" y="4507377"/>
          <a:ext cx="399778" cy="491468"/>
        </a:xfrm>
        <a:prstGeom prst="bentConnector3">
          <a:avLst>
            <a:gd name="adj1" fmla="val 64295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247650</xdr:colOff>
      <xdr:row>29</xdr:row>
      <xdr:rowOff>180975</xdr:rowOff>
    </xdr:to>
    <xdr:grpSp>
      <xdr:nvGrpSpPr>
        <xdr:cNvPr id="133" name="Group 326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GrpSpPr>
          <a:grpSpLocks/>
        </xdr:cNvGrpSpPr>
      </xdr:nvGrpSpPr>
      <xdr:grpSpPr bwMode="auto">
        <a:xfrm>
          <a:off x="10515600" y="5143500"/>
          <a:ext cx="247650" cy="561975"/>
          <a:chOff x="2255" y="45"/>
          <a:chExt cx="49" cy="180"/>
        </a:xfrm>
      </xdr:grpSpPr>
      <xdr:sp macro="" textlink="">
        <xdr:nvSpPr>
          <xdr:cNvPr id="134" name="Oval 327">
            <a:extLst>
              <a:ext uri="{FF2B5EF4-FFF2-40B4-BE49-F238E27FC236}">
                <a16:creationId xmlns:a16="http://schemas.microsoft.com/office/drawing/2014/main" id="{00000000-0008-0000-0800-000086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" name="Rectangle 328">
            <a:extLst>
              <a:ext uri="{FF2B5EF4-FFF2-40B4-BE49-F238E27FC236}">
                <a16:creationId xmlns:a16="http://schemas.microsoft.com/office/drawing/2014/main" id="{00000000-0008-0000-0800-000087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" name="Oval 329">
            <a:extLst>
              <a:ext uri="{FF2B5EF4-FFF2-40B4-BE49-F238E27FC236}">
                <a16:creationId xmlns:a16="http://schemas.microsoft.com/office/drawing/2014/main" id="{00000000-0008-0000-0800-000088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" name="Rectangle 330">
            <a:extLst>
              <a:ext uri="{FF2B5EF4-FFF2-40B4-BE49-F238E27FC236}">
                <a16:creationId xmlns:a16="http://schemas.microsoft.com/office/drawing/2014/main" id="{00000000-0008-0000-0800-000089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8" name="Rectangle 331">
            <a:extLst>
              <a:ext uri="{FF2B5EF4-FFF2-40B4-BE49-F238E27FC236}">
                <a16:creationId xmlns:a16="http://schemas.microsoft.com/office/drawing/2014/main" id="{00000000-0008-0000-0800-00008A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9" name="Line 332">
            <a:extLst>
              <a:ext uri="{FF2B5EF4-FFF2-40B4-BE49-F238E27FC236}">
                <a16:creationId xmlns:a16="http://schemas.microsoft.com/office/drawing/2014/main" id="{00000000-0008-0000-0800-00008B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5693</xdr:colOff>
      <xdr:row>23</xdr:row>
      <xdr:rowOff>131308</xdr:rowOff>
    </xdr:from>
    <xdr:to>
      <xdr:col>19</xdr:col>
      <xdr:colOff>40433</xdr:colOff>
      <xdr:row>28</xdr:row>
      <xdr:rowOff>63949</xdr:rowOff>
    </xdr:to>
    <xdr:cxnSp macro="">
      <xdr:nvCxnSpPr>
        <xdr:cNvPr id="140" name="Elbow Connector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CxnSpPr>
          <a:stCxn id="71" idx="0"/>
          <a:endCxn id="137" idx="1"/>
        </xdr:cNvCxnSpPr>
      </xdr:nvCxnSpPr>
      <xdr:spPr>
        <a:xfrm rot="16200000" flipH="1">
          <a:off x="9486492" y="4328409"/>
          <a:ext cx="885141" cy="1253940"/>
        </a:xfrm>
        <a:prstGeom prst="bentConnector4">
          <a:avLst>
            <a:gd name="adj1" fmla="val -25826"/>
            <a:gd name="adj2" fmla="val 7947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217326</xdr:colOff>
      <xdr:row>28</xdr:row>
      <xdr:rowOff>63951</xdr:rowOff>
    </xdr:from>
    <xdr:to>
      <xdr:col>15</xdr:col>
      <xdr:colOff>126353</xdr:colOff>
      <xdr:row>29</xdr:row>
      <xdr:rowOff>121656</xdr:rowOff>
    </xdr:to>
    <xdr:cxnSp macro="">
      <xdr:nvCxnSpPr>
        <xdr:cNvPr id="141" name="Elbow Connector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CxnSpPr>
          <a:stCxn id="59" idx="4"/>
          <a:endCxn id="53" idx="3"/>
        </xdr:cNvCxnSpPr>
      </xdr:nvCxnSpPr>
      <xdr:spPr>
        <a:xfrm rot="5400000" flipH="1">
          <a:off x="7515337" y="4957940"/>
          <a:ext cx="248205" cy="1128227"/>
        </a:xfrm>
        <a:prstGeom prst="bentConnector4">
          <a:avLst>
            <a:gd name="adj1" fmla="val -92101"/>
            <a:gd name="adj2" fmla="val 53808"/>
          </a:avLst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64926</xdr:colOff>
      <xdr:row>28</xdr:row>
      <xdr:rowOff>73476</xdr:rowOff>
    </xdr:from>
    <xdr:to>
      <xdr:col>13</xdr:col>
      <xdr:colOff>126353</xdr:colOff>
      <xdr:row>29</xdr:row>
      <xdr:rowOff>121656</xdr:rowOff>
    </xdr:to>
    <xdr:cxnSp macro="">
      <xdr:nvCxnSpPr>
        <xdr:cNvPr id="142" name="Elbow Connector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CxnSpPr>
          <a:stCxn id="52" idx="4"/>
          <a:endCxn id="9" idx="3"/>
        </xdr:cNvCxnSpPr>
      </xdr:nvCxnSpPr>
      <xdr:spPr>
        <a:xfrm rot="5400000" flipH="1">
          <a:off x="6224700" y="4886502"/>
          <a:ext cx="238680" cy="1280627"/>
        </a:xfrm>
        <a:prstGeom prst="bentConnector4">
          <a:avLst>
            <a:gd name="adj1" fmla="val -95777"/>
            <a:gd name="adj2" fmla="val 53355"/>
          </a:avLst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217326</xdr:colOff>
      <xdr:row>28</xdr:row>
      <xdr:rowOff>63951</xdr:rowOff>
    </xdr:from>
    <xdr:to>
      <xdr:col>19</xdr:col>
      <xdr:colOff>126353</xdr:colOff>
      <xdr:row>29</xdr:row>
      <xdr:rowOff>121656</xdr:rowOff>
    </xdr:to>
    <xdr:cxnSp macro="">
      <xdr:nvCxnSpPr>
        <xdr:cNvPr id="143" name="Elbow Connector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CxnSpPr>
          <a:stCxn id="136" idx="4"/>
          <a:endCxn id="60" idx="3"/>
        </xdr:cNvCxnSpPr>
      </xdr:nvCxnSpPr>
      <xdr:spPr>
        <a:xfrm rot="5400000" flipH="1">
          <a:off x="9344137" y="4348340"/>
          <a:ext cx="248205" cy="2347427"/>
        </a:xfrm>
        <a:prstGeom prst="bentConnector4">
          <a:avLst>
            <a:gd name="adj1" fmla="val -92101"/>
            <a:gd name="adj2" fmla="val 51830"/>
          </a:avLst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265983</xdr:colOff>
      <xdr:row>29</xdr:row>
      <xdr:rowOff>133980</xdr:rowOff>
    </xdr:from>
    <xdr:to>
      <xdr:col>10</xdr:col>
      <xdr:colOff>586060</xdr:colOff>
      <xdr:row>42</xdr:row>
      <xdr:rowOff>72602</xdr:rowOff>
    </xdr:to>
    <xdr:cxnSp macro="">
      <xdr:nvCxnSpPr>
        <xdr:cNvPr id="144" name="Elbow Connector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CxnSpPr>
          <a:stCxn id="8" idx="4"/>
          <a:endCxn id="21" idx="1"/>
        </xdr:cNvCxnSpPr>
      </xdr:nvCxnSpPr>
      <xdr:spPr>
        <a:xfrm rot="5400000">
          <a:off x="3942861" y="6401202"/>
          <a:ext cx="2415122" cy="929677"/>
        </a:xfrm>
        <a:prstGeom prst="bentConnector4">
          <a:avLst>
            <a:gd name="adj1" fmla="val 42960"/>
            <a:gd name="adj2" fmla="val 124460"/>
          </a:avLst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40</xdr:row>
      <xdr:rowOff>66675</xdr:rowOff>
    </xdr:from>
    <xdr:to>
      <xdr:col>12</xdr:col>
      <xdr:colOff>209550</xdr:colOff>
      <xdr:row>41</xdr:row>
      <xdr:rowOff>164869</xdr:rowOff>
    </xdr:to>
    <xdr:grpSp>
      <xdr:nvGrpSpPr>
        <xdr:cNvPr id="145" name="Group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GrpSpPr/>
      </xdr:nvGrpSpPr>
      <xdr:grpSpPr>
        <a:xfrm>
          <a:off x="5943600" y="7686675"/>
          <a:ext cx="514350" cy="288694"/>
          <a:chOff x="5295900" y="4000500"/>
          <a:chExt cx="790575" cy="409575"/>
        </a:xfrm>
      </xdr:grpSpPr>
      <xdr:sp macro="" textlink="">
        <xdr:nvSpPr>
          <xdr:cNvPr id="146" name="Rectangle 337">
            <a:extLst>
              <a:ext uri="{FF2B5EF4-FFF2-40B4-BE49-F238E27FC236}">
                <a16:creationId xmlns:a16="http://schemas.microsoft.com/office/drawing/2014/main" id="{00000000-0008-0000-0800-000092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377959" y="4037590"/>
            <a:ext cx="171277" cy="335395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7" name="AutoShape 338">
            <a:extLst>
              <a:ext uri="{FF2B5EF4-FFF2-40B4-BE49-F238E27FC236}">
                <a16:creationId xmlns:a16="http://schemas.microsoft.com/office/drawing/2014/main" id="{00000000-0008-0000-0800-00009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758671" y="4165898"/>
            <a:ext cx="320213" cy="63885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8" name="AutoShape 339">
            <a:extLst>
              <a:ext uri="{FF2B5EF4-FFF2-40B4-BE49-F238E27FC236}">
                <a16:creationId xmlns:a16="http://schemas.microsoft.com/office/drawing/2014/main" id="{00000000-0008-0000-0800-000094000000}"/>
              </a:ext>
            </a:extLst>
          </xdr:cNvPr>
          <xdr:cNvSpPr>
            <a:spLocks noChangeArrowheads="1"/>
          </xdr:cNvSpPr>
        </xdr:nvSpPr>
        <xdr:spPr bwMode="auto">
          <a:xfrm rot="16200000" flipV="1">
            <a:off x="5590973" y="4165898"/>
            <a:ext cx="320213" cy="63885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9" name="Rectangle 340">
            <a:extLst>
              <a:ext uri="{FF2B5EF4-FFF2-40B4-BE49-F238E27FC236}">
                <a16:creationId xmlns:a16="http://schemas.microsoft.com/office/drawing/2014/main" id="{00000000-0008-0000-0800-000095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934527" y="4165629"/>
            <a:ext cx="104255" cy="71870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0" name="Rectangle 341">
            <a:extLst>
              <a:ext uri="{FF2B5EF4-FFF2-40B4-BE49-F238E27FC236}">
                <a16:creationId xmlns:a16="http://schemas.microsoft.com/office/drawing/2014/main" id="{00000000-0008-0000-0800-000096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623089" y="4165629"/>
            <a:ext cx="104255" cy="71870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1" name="Rectangle 343">
            <a:extLst>
              <a:ext uri="{FF2B5EF4-FFF2-40B4-BE49-F238E27FC236}">
                <a16:creationId xmlns:a16="http://schemas.microsoft.com/office/drawing/2014/main" id="{00000000-0008-0000-0800-000097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667375" y="4153920"/>
            <a:ext cx="335107" cy="8784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577538</xdr:colOff>
      <xdr:row>39</xdr:row>
      <xdr:rowOff>139803</xdr:rowOff>
    </xdr:from>
    <xdr:to>
      <xdr:col>12</xdr:col>
      <xdr:colOff>44328</xdr:colOff>
      <xdr:row>41</xdr:row>
      <xdr:rowOff>132928</xdr:rowOff>
    </xdr:to>
    <xdr:cxnSp macro="">
      <xdr:nvCxnSpPr>
        <xdr:cNvPr id="152" name="Elbow Connector 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CxnSpPr>
          <a:stCxn id="22" idx="0"/>
          <a:endCxn id="151" idx="1"/>
        </xdr:cNvCxnSpPr>
      </xdr:nvCxnSpPr>
      <xdr:spPr>
        <a:xfrm rot="16200000" flipH="1">
          <a:off x="5457870" y="7108571"/>
          <a:ext cx="374125" cy="1295590"/>
        </a:xfrm>
        <a:prstGeom prst="bentConnector5">
          <a:avLst>
            <a:gd name="adj1" fmla="val -59793"/>
            <a:gd name="adj2" fmla="val 56990"/>
            <a:gd name="adj3" fmla="val 159793"/>
          </a:avLst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64926</xdr:colOff>
      <xdr:row>28</xdr:row>
      <xdr:rowOff>73475</xdr:rowOff>
    </xdr:from>
    <xdr:to>
      <xdr:col>12</xdr:col>
      <xdr:colOff>45893</xdr:colOff>
      <xdr:row>40</xdr:row>
      <xdr:rowOff>87671</xdr:rowOff>
    </xdr:to>
    <xdr:cxnSp macro="">
      <xdr:nvCxnSpPr>
        <xdr:cNvPr id="153" name="Elbow Connector 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CxnSpPr>
          <a:stCxn id="151" idx="3"/>
          <a:endCxn id="9" idx="3"/>
        </xdr:cNvCxnSpPr>
      </xdr:nvCxnSpPr>
      <xdr:spPr>
        <a:xfrm rot="16200000" flipV="1">
          <a:off x="4848912" y="6262289"/>
          <a:ext cx="2300196" cy="590567"/>
        </a:xfrm>
        <a:prstGeom prst="bentConnector2">
          <a:avLst/>
        </a:prstGeom>
        <a:ln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266290</xdr:colOff>
      <xdr:row>29</xdr:row>
      <xdr:rowOff>153631</xdr:rowOff>
    </xdr:from>
    <xdr:to>
      <xdr:col>3</xdr:col>
      <xdr:colOff>447265</xdr:colOff>
      <xdr:row>31</xdr:row>
      <xdr:rowOff>25708</xdr:rowOff>
    </xdr:to>
    <xdr:grpSp>
      <xdr:nvGrpSpPr>
        <xdr:cNvPr id="154" name="Group 91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GrpSpPr>
          <a:grpSpLocks/>
        </xdr:cNvGrpSpPr>
      </xdr:nvGrpSpPr>
      <xdr:grpSpPr bwMode="auto">
        <a:xfrm flipH="1">
          <a:off x="809215" y="5678131"/>
          <a:ext cx="790575" cy="253077"/>
          <a:chOff x="982" y="878"/>
          <a:chExt cx="215" cy="70"/>
        </a:xfrm>
      </xdr:grpSpPr>
      <xdr:grpSp>
        <xdr:nvGrpSpPr>
          <xdr:cNvPr id="155" name="Group 92">
            <a:extLst>
              <a:ext uri="{FF2B5EF4-FFF2-40B4-BE49-F238E27FC236}">
                <a16:creationId xmlns:a16="http://schemas.microsoft.com/office/drawing/2014/main" id="{00000000-0008-0000-0800-00009B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157" name="Group 93">
              <a:extLst>
                <a:ext uri="{FF2B5EF4-FFF2-40B4-BE49-F238E27FC236}">
                  <a16:creationId xmlns:a16="http://schemas.microsoft.com/office/drawing/2014/main" id="{00000000-0008-0000-0800-00009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173" name="Group 94">
                <a:extLst>
                  <a:ext uri="{FF2B5EF4-FFF2-40B4-BE49-F238E27FC236}">
                    <a16:creationId xmlns:a16="http://schemas.microsoft.com/office/drawing/2014/main" id="{00000000-0008-0000-0800-0000AD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205" name="Group 95">
                  <a:extLst>
                    <a:ext uri="{FF2B5EF4-FFF2-40B4-BE49-F238E27FC236}">
                      <a16:creationId xmlns:a16="http://schemas.microsoft.com/office/drawing/2014/main" id="{00000000-0008-0000-0800-0000CD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15" name="Line 96">
                    <a:extLst>
                      <a:ext uri="{FF2B5EF4-FFF2-40B4-BE49-F238E27FC236}">
                        <a16:creationId xmlns:a16="http://schemas.microsoft.com/office/drawing/2014/main" id="{00000000-0008-0000-0800-0000D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16" name="Line 97">
                    <a:extLst>
                      <a:ext uri="{FF2B5EF4-FFF2-40B4-BE49-F238E27FC236}">
                        <a16:creationId xmlns:a16="http://schemas.microsoft.com/office/drawing/2014/main" id="{00000000-0008-0000-0800-0000D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06" name="Group 98">
                  <a:extLst>
                    <a:ext uri="{FF2B5EF4-FFF2-40B4-BE49-F238E27FC236}">
                      <a16:creationId xmlns:a16="http://schemas.microsoft.com/office/drawing/2014/main" id="{00000000-0008-0000-0800-0000C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13" name="Line 99">
                    <a:extLst>
                      <a:ext uri="{FF2B5EF4-FFF2-40B4-BE49-F238E27FC236}">
                        <a16:creationId xmlns:a16="http://schemas.microsoft.com/office/drawing/2014/main" id="{00000000-0008-0000-0800-0000D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14" name="Line 100">
                    <a:extLst>
                      <a:ext uri="{FF2B5EF4-FFF2-40B4-BE49-F238E27FC236}">
                        <a16:creationId xmlns:a16="http://schemas.microsoft.com/office/drawing/2014/main" id="{00000000-0008-0000-0800-0000D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07" name="Group 101">
                  <a:extLst>
                    <a:ext uri="{FF2B5EF4-FFF2-40B4-BE49-F238E27FC236}">
                      <a16:creationId xmlns:a16="http://schemas.microsoft.com/office/drawing/2014/main" id="{00000000-0008-0000-0800-0000C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11" name="Line 102">
                    <a:extLst>
                      <a:ext uri="{FF2B5EF4-FFF2-40B4-BE49-F238E27FC236}">
                        <a16:creationId xmlns:a16="http://schemas.microsoft.com/office/drawing/2014/main" id="{00000000-0008-0000-0800-0000D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12" name="Line 103">
                    <a:extLst>
                      <a:ext uri="{FF2B5EF4-FFF2-40B4-BE49-F238E27FC236}">
                        <a16:creationId xmlns:a16="http://schemas.microsoft.com/office/drawing/2014/main" id="{00000000-0008-0000-0800-0000D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08" name="Group 104">
                  <a:extLst>
                    <a:ext uri="{FF2B5EF4-FFF2-40B4-BE49-F238E27FC236}">
                      <a16:creationId xmlns:a16="http://schemas.microsoft.com/office/drawing/2014/main" id="{00000000-0008-0000-0800-0000D0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09" name="Line 105">
                    <a:extLst>
                      <a:ext uri="{FF2B5EF4-FFF2-40B4-BE49-F238E27FC236}">
                        <a16:creationId xmlns:a16="http://schemas.microsoft.com/office/drawing/2014/main" id="{00000000-0008-0000-0800-0000D1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10" name="Line 106">
                    <a:extLst>
                      <a:ext uri="{FF2B5EF4-FFF2-40B4-BE49-F238E27FC236}">
                        <a16:creationId xmlns:a16="http://schemas.microsoft.com/office/drawing/2014/main" id="{00000000-0008-0000-0800-0000D2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174" name="Group 173">
                <a:extLst>
                  <a:ext uri="{FF2B5EF4-FFF2-40B4-BE49-F238E27FC236}">
                    <a16:creationId xmlns:a16="http://schemas.microsoft.com/office/drawing/2014/main" id="{00000000-0008-0000-0800-0000A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193" name="Group 108">
                  <a:extLst>
                    <a:ext uri="{FF2B5EF4-FFF2-40B4-BE49-F238E27FC236}">
                      <a16:creationId xmlns:a16="http://schemas.microsoft.com/office/drawing/2014/main" id="{00000000-0008-0000-0800-0000C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03" name="Line 109">
                    <a:extLst>
                      <a:ext uri="{FF2B5EF4-FFF2-40B4-BE49-F238E27FC236}">
                        <a16:creationId xmlns:a16="http://schemas.microsoft.com/office/drawing/2014/main" id="{00000000-0008-0000-0800-0000C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04" name="Line 110">
                    <a:extLst>
                      <a:ext uri="{FF2B5EF4-FFF2-40B4-BE49-F238E27FC236}">
                        <a16:creationId xmlns:a16="http://schemas.microsoft.com/office/drawing/2014/main" id="{00000000-0008-0000-0800-0000C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94" name="Group 111">
                  <a:extLst>
                    <a:ext uri="{FF2B5EF4-FFF2-40B4-BE49-F238E27FC236}">
                      <a16:creationId xmlns:a16="http://schemas.microsoft.com/office/drawing/2014/main" id="{00000000-0008-0000-0800-0000C2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01" name="Line 112">
                    <a:extLst>
                      <a:ext uri="{FF2B5EF4-FFF2-40B4-BE49-F238E27FC236}">
                        <a16:creationId xmlns:a16="http://schemas.microsoft.com/office/drawing/2014/main" id="{00000000-0008-0000-0800-0000C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02" name="Line 113">
                    <a:extLst>
                      <a:ext uri="{FF2B5EF4-FFF2-40B4-BE49-F238E27FC236}">
                        <a16:creationId xmlns:a16="http://schemas.microsoft.com/office/drawing/2014/main" id="{00000000-0008-0000-0800-0000C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95" name="Group 114">
                  <a:extLst>
                    <a:ext uri="{FF2B5EF4-FFF2-40B4-BE49-F238E27FC236}">
                      <a16:creationId xmlns:a16="http://schemas.microsoft.com/office/drawing/2014/main" id="{00000000-0008-0000-0800-0000C3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99" name="Line 115">
                    <a:extLst>
                      <a:ext uri="{FF2B5EF4-FFF2-40B4-BE49-F238E27FC236}">
                        <a16:creationId xmlns:a16="http://schemas.microsoft.com/office/drawing/2014/main" id="{00000000-0008-0000-0800-0000C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00" name="Line 116">
                    <a:extLst>
                      <a:ext uri="{FF2B5EF4-FFF2-40B4-BE49-F238E27FC236}">
                        <a16:creationId xmlns:a16="http://schemas.microsoft.com/office/drawing/2014/main" id="{00000000-0008-0000-0800-0000C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96" name="Group 117">
                  <a:extLst>
                    <a:ext uri="{FF2B5EF4-FFF2-40B4-BE49-F238E27FC236}">
                      <a16:creationId xmlns:a16="http://schemas.microsoft.com/office/drawing/2014/main" id="{00000000-0008-0000-0800-0000C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97" name="Line 118">
                    <a:extLst>
                      <a:ext uri="{FF2B5EF4-FFF2-40B4-BE49-F238E27FC236}">
                        <a16:creationId xmlns:a16="http://schemas.microsoft.com/office/drawing/2014/main" id="{00000000-0008-0000-0800-0000C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98" name="Line 119">
                    <a:extLst>
                      <a:ext uri="{FF2B5EF4-FFF2-40B4-BE49-F238E27FC236}">
                        <a16:creationId xmlns:a16="http://schemas.microsoft.com/office/drawing/2014/main" id="{00000000-0008-0000-0800-0000C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175" name="Group 120">
                <a:extLst>
                  <a:ext uri="{FF2B5EF4-FFF2-40B4-BE49-F238E27FC236}">
                    <a16:creationId xmlns:a16="http://schemas.microsoft.com/office/drawing/2014/main" id="{00000000-0008-0000-0800-0000A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177" name="Group 121">
                  <a:extLst>
                    <a:ext uri="{FF2B5EF4-FFF2-40B4-BE49-F238E27FC236}">
                      <a16:creationId xmlns:a16="http://schemas.microsoft.com/office/drawing/2014/main" id="{00000000-0008-0000-0800-0000B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91" name="Line 122">
                    <a:extLst>
                      <a:ext uri="{FF2B5EF4-FFF2-40B4-BE49-F238E27FC236}">
                        <a16:creationId xmlns:a16="http://schemas.microsoft.com/office/drawing/2014/main" id="{00000000-0008-0000-0800-0000BF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92" name="Line 123">
                    <a:extLst>
                      <a:ext uri="{FF2B5EF4-FFF2-40B4-BE49-F238E27FC236}">
                        <a16:creationId xmlns:a16="http://schemas.microsoft.com/office/drawing/2014/main" id="{00000000-0008-0000-0800-0000C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78" name="Group 124">
                  <a:extLst>
                    <a:ext uri="{FF2B5EF4-FFF2-40B4-BE49-F238E27FC236}">
                      <a16:creationId xmlns:a16="http://schemas.microsoft.com/office/drawing/2014/main" id="{00000000-0008-0000-0800-0000B2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89" name="Line 125">
                    <a:extLst>
                      <a:ext uri="{FF2B5EF4-FFF2-40B4-BE49-F238E27FC236}">
                        <a16:creationId xmlns:a16="http://schemas.microsoft.com/office/drawing/2014/main" id="{00000000-0008-0000-0800-0000BD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90" name="Line 126">
                    <a:extLst>
                      <a:ext uri="{FF2B5EF4-FFF2-40B4-BE49-F238E27FC236}">
                        <a16:creationId xmlns:a16="http://schemas.microsoft.com/office/drawing/2014/main" id="{00000000-0008-0000-0800-0000BE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79" name="Group 127">
                  <a:extLst>
                    <a:ext uri="{FF2B5EF4-FFF2-40B4-BE49-F238E27FC236}">
                      <a16:creationId xmlns:a16="http://schemas.microsoft.com/office/drawing/2014/main" id="{00000000-0008-0000-0800-0000B3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87" name="Line 128">
                    <a:extLst>
                      <a:ext uri="{FF2B5EF4-FFF2-40B4-BE49-F238E27FC236}">
                        <a16:creationId xmlns:a16="http://schemas.microsoft.com/office/drawing/2014/main" id="{00000000-0008-0000-0800-0000BB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88" name="Line 129">
                    <a:extLst>
                      <a:ext uri="{FF2B5EF4-FFF2-40B4-BE49-F238E27FC236}">
                        <a16:creationId xmlns:a16="http://schemas.microsoft.com/office/drawing/2014/main" id="{00000000-0008-0000-0800-0000BC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80" name="Group 130">
                  <a:extLst>
                    <a:ext uri="{FF2B5EF4-FFF2-40B4-BE49-F238E27FC236}">
                      <a16:creationId xmlns:a16="http://schemas.microsoft.com/office/drawing/2014/main" id="{00000000-0008-0000-0800-0000B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85" name="Line 131">
                    <a:extLst>
                      <a:ext uri="{FF2B5EF4-FFF2-40B4-BE49-F238E27FC236}">
                        <a16:creationId xmlns:a16="http://schemas.microsoft.com/office/drawing/2014/main" id="{00000000-0008-0000-0800-0000B9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86" name="Line 132">
                    <a:extLst>
                      <a:ext uri="{FF2B5EF4-FFF2-40B4-BE49-F238E27FC236}">
                        <a16:creationId xmlns:a16="http://schemas.microsoft.com/office/drawing/2014/main" id="{00000000-0008-0000-0800-0000BA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181" name="Group 133">
                  <a:extLst>
                    <a:ext uri="{FF2B5EF4-FFF2-40B4-BE49-F238E27FC236}">
                      <a16:creationId xmlns:a16="http://schemas.microsoft.com/office/drawing/2014/main" id="{00000000-0008-0000-0800-0000B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183" name="Line 134">
                    <a:extLst>
                      <a:ext uri="{FF2B5EF4-FFF2-40B4-BE49-F238E27FC236}">
                        <a16:creationId xmlns:a16="http://schemas.microsoft.com/office/drawing/2014/main" id="{00000000-0008-0000-0800-0000B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84" name="Line 135">
                    <a:extLst>
                      <a:ext uri="{FF2B5EF4-FFF2-40B4-BE49-F238E27FC236}">
                        <a16:creationId xmlns:a16="http://schemas.microsoft.com/office/drawing/2014/main" id="{00000000-0008-0000-0800-0000B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82" name="Line 136">
                  <a:extLst>
                    <a:ext uri="{FF2B5EF4-FFF2-40B4-BE49-F238E27FC236}">
                      <a16:creationId xmlns:a16="http://schemas.microsoft.com/office/drawing/2014/main" id="{00000000-0008-0000-0800-0000B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76" name="Line 137">
                <a:extLst>
                  <a:ext uri="{FF2B5EF4-FFF2-40B4-BE49-F238E27FC236}">
                    <a16:creationId xmlns:a16="http://schemas.microsoft.com/office/drawing/2014/main" id="{00000000-0008-0000-0800-0000B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58" name="Group 138">
              <a:extLst>
                <a:ext uri="{FF2B5EF4-FFF2-40B4-BE49-F238E27FC236}">
                  <a16:creationId xmlns:a16="http://schemas.microsoft.com/office/drawing/2014/main" id="{00000000-0008-0000-0800-00009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159" name="Rectangle 139">
                <a:extLst>
                  <a:ext uri="{FF2B5EF4-FFF2-40B4-BE49-F238E27FC236}">
                    <a16:creationId xmlns:a16="http://schemas.microsoft.com/office/drawing/2014/main" id="{00000000-0008-0000-0800-00009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160" name="Group 140">
                <a:extLst>
                  <a:ext uri="{FF2B5EF4-FFF2-40B4-BE49-F238E27FC236}">
                    <a16:creationId xmlns:a16="http://schemas.microsoft.com/office/drawing/2014/main" id="{00000000-0008-0000-0800-0000A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161" name="Oval 141">
                  <a:extLst>
                    <a:ext uri="{FF2B5EF4-FFF2-40B4-BE49-F238E27FC236}">
                      <a16:creationId xmlns:a16="http://schemas.microsoft.com/office/drawing/2014/main" id="{00000000-0008-0000-0800-0000A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  <a:gs pos="50000">
                      <a:srgbClr xmlns:mc="http://schemas.openxmlformats.org/markup-compatibility/2006" xmlns:a14="http://schemas.microsoft.com/office/drawing/2010/main" val="FFFFFF" mc:Ignorable="a14" a14:legacySpreadsheetColorIndex="9"/>
                    </a:gs>
                    <a:gs pos="10000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162" name="Group 142">
                  <a:extLst>
                    <a:ext uri="{FF2B5EF4-FFF2-40B4-BE49-F238E27FC236}">
                      <a16:creationId xmlns:a16="http://schemas.microsoft.com/office/drawing/2014/main" id="{00000000-0008-0000-0800-0000A2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167" name="Group 143">
                    <a:extLst>
                      <a:ext uri="{FF2B5EF4-FFF2-40B4-BE49-F238E27FC236}">
                        <a16:creationId xmlns:a16="http://schemas.microsoft.com/office/drawing/2014/main" id="{00000000-0008-0000-0800-0000A7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171" name="Oval 144">
                      <a:extLst>
                        <a:ext uri="{FF2B5EF4-FFF2-40B4-BE49-F238E27FC236}">
                          <a16:creationId xmlns:a16="http://schemas.microsoft.com/office/drawing/2014/main" id="{00000000-0008-0000-0800-0000AB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72" name="AutoShape 145">
                      <a:extLst>
                        <a:ext uri="{FF2B5EF4-FFF2-40B4-BE49-F238E27FC236}">
                          <a16:creationId xmlns:a16="http://schemas.microsoft.com/office/drawing/2014/main" id="{00000000-0008-0000-0800-0000AC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168" name="Group 146">
                    <a:extLst>
                      <a:ext uri="{FF2B5EF4-FFF2-40B4-BE49-F238E27FC236}">
                        <a16:creationId xmlns:a16="http://schemas.microsoft.com/office/drawing/2014/main" id="{00000000-0008-0000-0800-0000A8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169" name="Oval 147">
                      <a:extLst>
                        <a:ext uri="{FF2B5EF4-FFF2-40B4-BE49-F238E27FC236}">
                          <a16:creationId xmlns:a16="http://schemas.microsoft.com/office/drawing/2014/main" id="{00000000-0008-0000-0800-0000A9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70" name="AutoShape 148">
                      <a:extLst>
                        <a:ext uri="{FF2B5EF4-FFF2-40B4-BE49-F238E27FC236}">
                          <a16:creationId xmlns:a16="http://schemas.microsoft.com/office/drawing/2014/main" id="{00000000-0008-0000-0800-0000AA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163" name="Line 149">
                  <a:extLst>
                    <a:ext uri="{FF2B5EF4-FFF2-40B4-BE49-F238E27FC236}">
                      <a16:creationId xmlns:a16="http://schemas.microsoft.com/office/drawing/2014/main" id="{00000000-0008-0000-0800-0000A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164" name="Group 150">
                  <a:extLst>
                    <a:ext uri="{FF2B5EF4-FFF2-40B4-BE49-F238E27FC236}">
                      <a16:creationId xmlns:a16="http://schemas.microsoft.com/office/drawing/2014/main" id="{00000000-0008-0000-0800-0000A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165" name="Oval 151">
                    <a:extLst>
                      <a:ext uri="{FF2B5EF4-FFF2-40B4-BE49-F238E27FC236}">
                        <a16:creationId xmlns:a16="http://schemas.microsoft.com/office/drawing/2014/main" id="{00000000-0008-0000-0800-0000A5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166" name="Rectangle 152">
                    <a:extLst>
                      <a:ext uri="{FF2B5EF4-FFF2-40B4-BE49-F238E27FC236}">
                        <a16:creationId xmlns:a16="http://schemas.microsoft.com/office/drawing/2014/main" id="{00000000-0008-0000-0800-0000A6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156" name="Rectangle 153">
            <a:extLst>
              <a:ext uri="{FF2B5EF4-FFF2-40B4-BE49-F238E27FC236}">
                <a16:creationId xmlns:a16="http://schemas.microsoft.com/office/drawing/2014/main" id="{00000000-0008-0000-0800-00009C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79602</xdr:colOff>
      <xdr:row>28</xdr:row>
      <xdr:rowOff>74943</xdr:rowOff>
    </xdr:from>
    <xdr:to>
      <xdr:col>10</xdr:col>
      <xdr:colOff>498435</xdr:colOff>
      <xdr:row>30</xdr:row>
      <xdr:rowOff>163871</xdr:rowOff>
    </xdr:to>
    <xdr:cxnSp macro="">
      <xdr:nvCxnSpPr>
        <xdr:cNvPr id="217" name="Elbow Connector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CxnSpPr>
          <a:stCxn id="19" idx="0"/>
          <a:endCxn id="9" idx="1"/>
        </xdr:cNvCxnSpPr>
      </xdr:nvCxnSpPr>
      <xdr:spPr>
        <a:xfrm rot="5400000" flipH="1" flipV="1">
          <a:off x="3754517" y="4105753"/>
          <a:ext cx="469928" cy="3076308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30726</xdr:colOff>
      <xdr:row>39</xdr:row>
      <xdr:rowOff>102419</xdr:rowOff>
    </xdr:from>
    <xdr:to>
      <xdr:col>14</xdr:col>
      <xdr:colOff>30726</xdr:colOff>
      <xdr:row>43</xdr:row>
      <xdr:rowOff>188144</xdr:rowOff>
    </xdr:to>
    <xdr:grpSp>
      <xdr:nvGrpSpPr>
        <xdr:cNvPr id="218" name="Group 591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GrpSpPr>
          <a:grpSpLocks/>
        </xdr:cNvGrpSpPr>
      </xdr:nvGrpSpPr>
      <xdr:grpSpPr bwMode="auto">
        <a:xfrm>
          <a:off x="6888726" y="7531919"/>
          <a:ext cx="609600" cy="847725"/>
          <a:chOff x="997" y="134"/>
          <a:chExt cx="143" cy="138"/>
        </a:xfrm>
      </xdr:grpSpPr>
      <xdr:sp macro="" textlink="">
        <xdr:nvSpPr>
          <xdr:cNvPr id="219" name="Rectangle 587">
            <a:extLst>
              <a:ext uri="{FF2B5EF4-FFF2-40B4-BE49-F238E27FC236}">
                <a16:creationId xmlns:a16="http://schemas.microsoft.com/office/drawing/2014/main" id="{00000000-0008-0000-0800-0000DB000000}"/>
              </a:ext>
            </a:extLst>
          </xdr:cNvPr>
          <xdr:cNvSpPr>
            <a:spLocks noChangeArrowheads="1"/>
          </xdr:cNvSpPr>
        </xdr:nvSpPr>
        <xdr:spPr bwMode="auto">
          <a:xfrm>
            <a:off x="997" y="161"/>
            <a:ext cx="143" cy="111"/>
          </a:xfrm>
          <a:prstGeom prst="rect">
            <a:avLst/>
          </a:prstGeom>
          <a:gradFill rotWithShape="0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0" name="AutoShape 590">
            <a:extLst>
              <a:ext uri="{FF2B5EF4-FFF2-40B4-BE49-F238E27FC236}">
                <a16:creationId xmlns:a16="http://schemas.microsoft.com/office/drawing/2014/main" id="{00000000-0008-0000-0800-0000DC00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4"/>
            <a:ext cx="141" cy="28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  <a:gs pos="50000">
                <a:srgbClr xmlns:mc="http://schemas.openxmlformats.org/markup-compatibility/2006" xmlns:a14="http://schemas.microsoft.com/office/drawing/2010/main" val="969696" mc:Ignorable="a14" a14:legacySpreadsheetColorIndex="55"/>
              </a:gs>
              <a:gs pos="100000">
                <a:srgbClr xmlns:mc="http://schemas.openxmlformats.org/markup-compatibility/2006" xmlns:a14="http://schemas.microsoft.com/office/drawing/2010/main" val="454545" mc:Ignorable="a14" a14:legacySpreadsheetColorIndex="55">
                  <a:gamma/>
                  <a:shade val="46275"/>
                  <a:invGamma/>
                </a:srgbClr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81934</xdr:colOff>
      <xdr:row>25</xdr:row>
      <xdr:rowOff>153630</xdr:rowOff>
    </xdr:from>
    <xdr:to>
      <xdr:col>2</xdr:col>
      <xdr:colOff>266289</xdr:colOff>
      <xdr:row>30</xdr:row>
      <xdr:rowOff>35550</xdr:rowOff>
    </xdr:to>
    <xdr:cxnSp macro="">
      <xdr:nvCxnSpPr>
        <xdr:cNvPr id="221" name="Elbow Connector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CxnSpPr>
          <a:endCxn id="156" idx="3"/>
        </xdr:cNvCxnSpPr>
      </xdr:nvCxnSpPr>
      <xdr:spPr>
        <a:xfrm rot="16200000" flipH="1">
          <a:off x="299827" y="5241162"/>
          <a:ext cx="834420" cy="18435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50135</xdr:colOff>
      <xdr:row>27</xdr:row>
      <xdr:rowOff>118348</xdr:rowOff>
    </xdr:from>
    <xdr:to>
      <xdr:col>2</xdr:col>
      <xdr:colOff>312225</xdr:colOff>
      <xdr:row>28</xdr:row>
      <xdr:rowOff>32622</xdr:rowOff>
    </xdr:to>
    <xdr:grpSp>
      <xdr:nvGrpSpPr>
        <xdr:cNvPr id="222" name="Group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GrpSpPr/>
      </xdr:nvGrpSpPr>
      <xdr:grpSpPr>
        <a:xfrm>
          <a:off x="593060" y="5261848"/>
          <a:ext cx="262090" cy="104774"/>
          <a:chOff x="1247775" y="900113"/>
          <a:chExt cx="352426" cy="142875"/>
        </a:xfrm>
      </xdr:grpSpPr>
      <xdr:cxnSp macro="">
        <xdr:nvCxnSpPr>
          <xdr:cNvPr id="223" name="Straight Connector 222">
            <a:extLst>
              <a:ext uri="{FF2B5EF4-FFF2-40B4-BE49-F238E27FC236}">
                <a16:creationId xmlns:a16="http://schemas.microsoft.com/office/drawing/2014/main" id="{00000000-0008-0000-0800-0000DF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4" name="Straight Connector 223">
            <a:extLst>
              <a:ext uri="{FF2B5EF4-FFF2-40B4-BE49-F238E27FC236}">
                <a16:creationId xmlns:a16="http://schemas.microsoft.com/office/drawing/2014/main" id="{00000000-0008-0000-0800-0000E0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5" name="Oval 224">
            <a:extLst>
              <a:ext uri="{FF2B5EF4-FFF2-40B4-BE49-F238E27FC236}">
                <a16:creationId xmlns:a16="http://schemas.microsoft.com/office/drawing/2014/main" id="{00000000-0008-0000-0800-0000E1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26" name="Straight Connector 225">
            <a:extLst>
              <a:ext uri="{FF2B5EF4-FFF2-40B4-BE49-F238E27FC236}">
                <a16:creationId xmlns:a16="http://schemas.microsoft.com/office/drawing/2014/main" id="{00000000-0008-0000-0800-0000E2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126354</xdr:colOff>
      <xdr:row>24</xdr:row>
      <xdr:rowOff>74083</xdr:rowOff>
    </xdr:from>
    <xdr:to>
      <xdr:col>20</xdr:col>
      <xdr:colOff>127001</xdr:colOff>
      <xdr:row>27</xdr:row>
      <xdr:rowOff>0</xdr:rowOff>
    </xdr:to>
    <xdr:cxnSp macro="">
      <xdr:nvCxnSpPr>
        <xdr:cNvPr id="227" name="Elbow Connector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CxnSpPr>
          <a:stCxn id="134" idx="0"/>
        </xdr:cNvCxnSpPr>
      </xdr:nvCxnSpPr>
      <xdr:spPr>
        <a:xfrm rot="5400000" flipH="1" flipV="1">
          <a:off x="10698369" y="4589668"/>
          <a:ext cx="497417" cy="61024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364066</xdr:colOff>
      <xdr:row>23</xdr:row>
      <xdr:rowOff>48684</xdr:rowOff>
    </xdr:from>
    <xdr:to>
      <xdr:col>19</xdr:col>
      <xdr:colOff>468841</xdr:colOff>
      <xdr:row>24</xdr:row>
      <xdr:rowOff>119592</xdr:rowOff>
    </xdr:to>
    <xdr:grpSp>
      <xdr:nvGrpSpPr>
        <xdr:cNvPr id="228" name="Group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GrpSpPr/>
      </xdr:nvGrpSpPr>
      <xdr:grpSpPr>
        <a:xfrm rot="16488717">
          <a:off x="10801350" y="4508500"/>
          <a:ext cx="261408" cy="104775"/>
          <a:chOff x="1247775" y="900113"/>
          <a:chExt cx="352426" cy="142875"/>
        </a:xfrm>
      </xdr:grpSpPr>
      <xdr:cxnSp macro="">
        <xdr:nvCxnSpPr>
          <xdr:cNvPr id="229" name="Straight Connector 228">
            <a:extLst>
              <a:ext uri="{FF2B5EF4-FFF2-40B4-BE49-F238E27FC236}">
                <a16:creationId xmlns:a16="http://schemas.microsoft.com/office/drawing/2014/main" id="{00000000-0008-0000-0800-0000E5000000}"/>
              </a:ext>
            </a:extLst>
          </xdr:cNvPr>
          <xdr:cNvCxnSpPr/>
        </xdr:nvCxnSpPr>
        <xdr:spPr>
          <a:xfrm>
            <a:off x="1252538" y="1004887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0" name="Straight Connector 229">
            <a:extLst>
              <a:ext uri="{FF2B5EF4-FFF2-40B4-BE49-F238E27FC236}">
                <a16:creationId xmlns:a16="http://schemas.microsoft.com/office/drawing/2014/main" id="{00000000-0008-0000-0800-0000E6000000}"/>
              </a:ext>
            </a:extLst>
          </xdr:cNvPr>
          <xdr:cNvCxnSpPr/>
        </xdr:nvCxnSpPr>
        <xdr:spPr>
          <a:xfrm>
            <a:off x="1247775" y="952500"/>
            <a:ext cx="1238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1" name="Oval 230">
            <a:extLst>
              <a:ext uri="{FF2B5EF4-FFF2-40B4-BE49-F238E27FC236}">
                <a16:creationId xmlns:a16="http://schemas.microsoft.com/office/drawing/2014/main" id="{00000000-0008-0000-0800-0000E7000000}"/>
              </a:ext>
            </a:extLst>
          </xdr:cNvPr>
          <xdr:cNvSpPr/>
        </xdr:nvSpPr>
        <xdr:spPr>
          <a:xfrm>
            <a:off x="1462087" y="900113"/>
            <a:ext cx="138114" cy="1428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32" name="Straight Connector 231">
            <a:extLst>
              <a:ext uri="{FF2B5EF4-FFF2-40B4-BE49-F238E27FC236}">
                <a16:creationId xmlns:a16="http://schemas.microsoft.com/office/drawing/2014/main" id="{00000000-0008-0000-0800-0000E8000000}"/>
              </a:ext>
            </a:extLst>
          </xdr:cNvPr>
          <xdr:cNvCxnSpPr/>
        </xdr:nvCxnSpPr>
        <xdr:spPr>
          <a:xfrm flipH="1">
            <a:off x="1362076" y="976313"/>
            <a:ext cx="80962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174113</xdr:colOff>
      <xdr:row>36</xdr:row>
      <xdr:rowOff>184354</xdr:rowOff>
    </xdr:from>
    <xdr:to>
      <xdr:col>16</xdr:col>
      <xdr:colOff>278888</xdr:colOff>
      <xdr:row>43</xdr:row>
      <xdr:rowOff>115904</xdr:rowOff>
    </xdr:to>
    <xdr:sp macro="" textlink="">
      <xdr:nvSpPr>
        <xdr:cNvPr id="233" name="Rectangle 209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SpPr>
          <a:spLocks noChangeArrowheads="1"/>
        </xdr:cNvSpPr>
      </xdr:nvSpPr>
      <xdr:spPr bwMode="auto">
        <a:xfrm flipH="1">
          <a:off x="8860913" y="7042354"/>
          <a:ext cx="104775" cy="12650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46275"/>
                <a:invGamma/>
              </a:srgbClr>
            </a:gs>
            <a:gs pos="5000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318215</xdr:colOff>
      <xdr:row>2</xdr:row>
      <xdr:rowOff>143387</xdr:rowOff>
    </xdr:from>
    <xdr:to>
      <xdr:col>7</xdr:col>
      <xdr:colOff>112661</xdr:colOff>
      <xdr:row>11</xdr:row>
      <xdr:rowOff>163870</xdr:rowOff>
    </xdr:to>
    <xdr:grpSp>
      <xdr:nvGrpSpPr>
        <xdr:cNvPr id="234" name="Group 326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GrpSpPr>
          <a:grpSpLocks/>
        </xdr:cNvGrpSpPr>
      </xdr:nvGrpSpPr>
      <xdr:grpSpPr bwMode="auto">
        <a:xfrm>
          <a:off x="3299540" y="524387"/>
          <a:ext cx="404046" cy="1734983"/>
          <a:chOff x="2255" y="45"/>
          <a:chExt cx="49" cy="180"/>
        </a:xfrm>
      </xdr:grpSpPr>
      <xdr:sp macro="" textlink="">
        <xdr:nvSpPr>
          <xdr:cNvPr id="235" name="Oval 327">
            <a:extLst>
              <a:ext uri="{FF2B5EF4-FFF2-40B4-BE49-F238E27FC236}">
                <a16:creationId xmlns:a16="http://schemas.microsoft.com/office/drawing/2014/main" id="{00000000-0008-0000-0800-0000EB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6" name="Rectangle 328">
            <a:extLst>
              <a:ext uri="{FF2B5EF4-FFF2-40B4-BE49-F238E27FC236}">
                <a16:creationId xmlns:a16="http://schemas.microsoft.com/office/drawing/2014/main" id="{00000000-0008-0000-0800-0000EC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7" name="Oval 329">
            <a:extLst>
              <a:ext uri="{FF2B5EF4-FFF2-40B4-BE49-F238E27FC236}">
                <a16:creationId xmlns:a16="http://schemas.microsoft.com/office/drawing/2014/main" id="{00000000-0008-0000-0800-0000ED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8" name="Rectangle 330">
            <a:extLst>
              <a:ext uri="{FF2B5EF4-FFF2-40B4-BE49-F238E27FC236}">
                <a16:creationId xmlns:a16="http://schemas.microsoft.com/office/drawing/2014/main" id="{00000000-0008-0000-0800-0000EE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9" name="Rectangle 331">
            <a:extLst>
              <a:ext uri="{FF2B5EF4-FFF2-40B4-BE49-F238E27FC236}">
                <a16:creationId xmlns:a16="http://schemas.microsoft.com/office/drawing/2014/main" id="{00000000-0008-0000-0800-0000EF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0" name="Line 332">
            <a:extLst>
              <a:ext uri="{FF2B5EF4-FFF2-40B4-BE49-F238E27FC236}">
                <a16:creationId xmlns:a16="http://schemas.microsoft.com/office/drawing/2014/main" id="{00000000-0008-0000-0800-0000F0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450647</xdr:colOff>
      <xdr:row>7</xdr:row>
      <xdr:rowOff>4095</xdr:rowOff>
    </xdr:from>
    <xdr:to>
      <xdr:col>10</xdr:col>
      <xdr:colOff>245092</xdr:colOff>
      <xdr:row>16</xdr:row>
      <xdr:rowOff>20482</xdr:rowOff>
    </xdr:to>
    <xdr:grpSp>
      <xdr:nvGrpSpPr>
        <xdr:cNvPr id="241" name="Group 326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GrpSpPr>
          <a:grpSpLocks/>
        </xdr:cNvGrpSpPr>
      </xdr:nvGrpSpPr>
      <xdr:grpSpPr bwMode="auto">
        <a:xfrm>
          <a:off x="4870247" y="1337595"/>
          <a:ext cx="404045" cy="1730887"/>
          <a:chOff x="2255" y="45"/>
          <a:chExt cx="49" cy="180"/>
        </a:xfrm>
      </xdr:grpSpPr>
      <xdr:sp macro="" textlink="">
        <xdr:nvSpPr>
          <xdr:cNvPr id="242" name="Oval 327">
            <a:extLst>
              <a:ext uri="{FF2B5EF4-FFF2-40B4-BE49-F238E27FC236}">
                <a16:creationId xmlns:a16="http://schemas.microsoft.com/office/drawing/2014/main" id="{00000000-0008-0000-0800-0000F2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45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3" name="Rectangle 328">
            <a:extLst>
              <a:ext uri="{FF2B5EF4-FFF2-40B4-BE49-F238E27FC236}">
                <a16:creationId xmlns:a16="http://schemas.microsoft.com/office/drawing/2014/main" id="{00000000-0008-0000-0800-0000F3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95"/>
            <a:ext cx="35" cy="22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4" name="Oval 329">
            <a:extLst>
              <a:ext uri="{FF2B5EF4-FFF2-40B4-BE49-F238E27FC236}">
                <a16:creationId xmlns:a16="http://schemas.microsoft.com/office/drawing/2014/main" id="{00000000-0008-0000-0800-0000F4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181"/>
            <a:ext cx="34" cy="25"/>
          </a:xfrm>
          <a:prstGeom prst="ellipse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5" name="Rectangle 330">
            <a:extLst>
              <a:ext uri="{FF2B5EF4-FFF2-40B4-BE49-F238E27FC236}">
                <a16:creationId xmlns:a16="http://schemas.microsoft.com/office/drawing/2014/main" id="{00000000-0008-0000-0800-0000F50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57"/>
            <a:ext cx="35" cy="139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6" name="Rectangle 331">
            <a:extLst>
              <a:ext uri="{FF2B5EF4-FFF2-40B4-BE49-F238E27FC236}">
                <a16:creationId xmlns:a16="http://schemas.microsoft.com/office/drawing/2014/main" id="{00000000-0008-0000-0800-0000F6000000}"/>
              </a:ext>
            </a:extLst>
          </xdr:cNvPr>
          <xdr:cNvSpPr>
            <a:spLocks noChangeArrowheads="1"/>
          </xdr:cNvSpPr>
        </xdr:nvSpPr>
        <xdr:spPr bwMode="auto">
          <a:xfrm>
            <a:off x="2255" y="217"/>
            <a:ext cx="49" cy="8"/>
          </a:xfrm>
          <a:prstGeom prst="rect">
            <a:avLst/>
          </a:prstGeom>
          <a:gradFill rotWithShape="0">
            <a:gsLst>
              <a:gs pos="0">
                <a:srgbClr val="FFFFFF">
                  <a:gamma/>
                  <a:shade val="46275"/>
                  <a:invGamma/>
                </a:srgbClr>
              </a:gs>
              <a:gs pos="50000">
                <a:srgbClr val="FFFFFF"/>
              </a:gs>
              <a:gs pos="100000">
                <a:srgbClr val="FFFFFF">
                  <a:gamma/>
                  <a:shade val="46275"/>
                  <a:invGamma/>
                </a:srgbClr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7" name="Line 332">
            <a:extLst>
              <a:ext uri="{FF2B5EF4-FFF2-40B4-BE49-F238E27FC236}">
                <a16:creationId xmlns:a16="http://schemas.microsoft.com/office/drawing/2014/main" id="{00000000-0008-0000-0800-0000F7000000}"/>
              </a:ext>
            </a:extLst>
          </xdr:cNvPr>
          <xdr:cNvSpPr>
            <a:spLocks noChangeShapeType="1"/>
          </xdr:cNvSpPr>
        </xdr:nvSpPr>
        <xdr:spPr bwMode="auto">
          <a:xfrm>
            <a:off x="2255" y="221"/>
            <a:ext cx="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399436</xdr:colOff>
      <xdr:row>0</xdr:row>
      <xdr:rowOff>153630</xdr:rowOff>
    </xdr:from>
    <xdr:to>
      <xdr:col>9</xdr:col>
      <xdr:colOff>365331</xdr:colOff>
      <xdr:row>2</xdr:row>
      <xdr:rowOff>25706</xdr:rowOff>
    </xdr:to>
    <xdr:grpSp>
      <xdr:nvGrpSpPr>
        <xdr:cNvPr id="248" name="Group 91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GrpSpPr>
          <a:grpSpLocks/>
        </xdr:cNvGrpSpPr>
      </xdr:nvGrpSpPr>
      <xdr:grpSpPr bwMode="auto">
        <a:xfrm flipH="1">
          <a:off x="3990361" y="153630"/>
          <a:ext cx="794570" cy="253076"/>
          <a:chOff x="982" y="878"/>
          <a:chExt cx="215" cy="70"/>
        </a:xfrm>
      </xdr:grpSpPr>
      <xdr:grpSp>
        <xdr:nvGrpSpPr>
          <xdr:cNvPr id="249" name="Group 92">
            <a:extLst>
              <a:ext uri="{FF2B5EF4-FFF2-40B4-BE49-F238E27FC236}">
                <a16:creationId xmlns:a16="http://schemas.microsoft.com/office/drawing/2014/main" id="{00000000-0008-0000-0800-0000F900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251" name="Group 93">
              <a:extLst>
                <a:ext uri="{FF2B5EF4-FFF2-40B4-BE49-F238E27FC236}">
                  <a16:creationId xmlns:a16="http://schemas.microsoft.com/office/drawing/2014/main" id="{00000000-0008-0000-0800-0000F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267" name="Group 94">
                <a:extLst>
                  <a:ext uri="{FF2B5EF4-FFF2-40B4-BE49-F238E27FC236}">
                    <a16:creationId xmlns:a16="http://schemas.microsoft.com/office/drawing/2014/main" id="{00000000-0008-0000-0800-00000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299" name="Group 95">
                  <a:extLst>
                    <a:ext uri="{FF2B5EF4-FFF2-40B4-BE49-F238E27FC236}">
                      <a16:creationId xmlns:a16="http://schemas.microsoft.com/office/drawing/2014/main" id="{00000000-0008-0000-0800-00002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09" name="Line 96">
                    <a:extLst>
                      <a:ext uri="{FF2B5EF4-FFF2-40B4-BE49-F238E27FC236}">
                        <a16:creationId xmlns:a16="http://schemas.microsoft.com/office/drawing/2014/main" id="{00000000-0008-0000-0800-00003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10" name="Line 97">
                    <a:extLst>
                      <a:ext uri="{FF2B5EF4-FFF2-40B4-BE49-F238E27FC236}">
                        <a16:creationId xmlns:a16="http://schemas.microsoft.com/office/drawing/2014/main" id="{00000000-0008-0000-0800-00003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00" name="Group 98">
                  <a:extLst>
                    <a:ext uri="{FF2B5EF4-FFF2-40B4-BE49-F238E27FC236}">
                      <a16:creationId xmlns:a16="http://schemas.microsoft.com/office/drawing/2014/main" id="{00000000-0008-0000-0800-00002C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07" name="Line 99">
                    <a:extLst>
                      <a:ext uri="{FF2B5EF4-FFF2-40B4-BE49-F238E27FC236}">
                        <a16:creationId xmlns:a16="http://schemas.microsoft.com/office/drawing/2014/main" id="{00000000-0008-0000-0800-000033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08" name="Line 100">
                    <a:extLst>
                      <a:ext uri="{FF2B5EF4-FFF2-40B4-BE49-F238E27FC236}">
                        <a16:creationId xmlns:a16="http://schemas.microsoft.com/office/drawing/2014/main" id="{00000000-0008-0000-0800-000034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01" name="Group 101">
                  <a:extLst>
                    <a:ext uri="{FF2B5EF4-FFF2-40B4-BE49-F238E27FC236}">
                      <a16:creationId xmlns:a16="http://schemas.microsoft.com/office/drawing/2014/main" id="{00000000-0008-0000-0800-00002D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05" name="Line 102">
                    <a:extLst>
                      <a:ext uri="{FF2B5EF4-FFF2-40B4-BE49-F238E27FC236}">
                        <a16:creationId xmlns:a16="http://schemas.microsoft.com/office/drawing/2014/main" id="{00000000-0008-0000-0800-000031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06" name="Line 103">
                    <a:extLst>
                      <a:ext uri="{FF2B5EF4-FFF2-40B4-BE49-F238E27FC236}">
                        <a16:creationId xmlns:a16="http://schemas.microsoft.com/office/drawing/2014/main" id="{00000000-0008-0000-0800-000032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02" name="Group 104">
                  <a:extLst>
                    <a:ext uri="{FF2B5EF4-FFF2-40B4-BE49-F238E27FC236}">
                      <a16:creationId xmlns:a16="http://schemas.microsoft.com/office/drawing/2014/main" id="{00000000-0008-0000-0800-00002E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03" name="Line 105">
                    <a:extLst>
                      <a:ext uri="{FF2B5EF4-FFF2-40B4-BE49-F238E27FC236}">
                        <a16:creationId xmlns:a16="http://schemas.microsoft.com/office/drawing/2014/main" id="{00000000-0008-0000-0800-00002F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04" name="Line 106">
                    <a:extLst>
                      <a:ext uri="{FF2B5EF4-FFF2-40B4-BE49-F238E27FC236}">
                        <a16:creationId xmlns:a16="http://schemas.microsoft.com/office/drawing/2014/main" id="{00000000-0008-0000-0800-000030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268" name="Group 267">
                <a:extLst>
                  <a:ext uri="{FF2B5EF4-FFF2-40B4-BE49-F238E27FC236}">
                    <a16:creationId xmlns:a16="http://schemas.microsoft.com/office/drawing/2014/main" id="{00000000-0008-0000-0800-00000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287" name="Group 108">
                  <a:extLst>
                    <a:ext uri="{FF2B5EF4-FFF2-40B4-BE49-F238E27FC236}">
                      <a16:creationId xmlns:a16="http://schemas.microsoft.com/office/drawing/2014/main" id="{00000000-0008-0000-0800-00001F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97" name="Line 109">
                    <a:extLst>
                      <a:ext uri="{FF2B5EF4-FFF2-40B4-BE49-F238E27FC236}">
                        <a16:creationId xmlns:a16="http://schemas.microsoft.com/office/drawing/2014/main" id="{00000000-0008-0000-0800-00002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98" name="Line 110">
                    <a:extLst>
                      <a:ext uri="{FF2B5EF4-FFF2-40B4-BE49-F238E27FC236}">
                        <a16:creationId xmlns:a16="http://schemas.microsoft.com/office/drawing/2014/main" id="{00000000-0008-0000-0800-00002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88" name="Group 111">
                  <a:extLst>
                    <a:ext uri="{FF2B5EF4-FFF2-40B4-BE49-F238E27FC236}">
                      <a16:creationId xmlns:a16="http://schemas.microsoft.com/office/drawing/2014/main" id="{00000000-0008-0000-0800-000020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95" name="Line 112">
                    <a:extLst>
                      <a:ext uri="{FF2B5EF4-FFF2-40B4-BE49-F238E27FC236}">
                        <a16:creationId xmlns:a16="http://schemas.microsoft.com/office/drawing/2014/main" id="{00000000-0008-0000-0800-00002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96" name="Line 113">
                    <a:extLst>
                      <a:ext uri="{FF2B5EF4-FFF2-40B4-BE49-F238E27FC236}">
                        <a16:creationId xmlns:a16="http://schemas.microsoft.com/office/drawing/2014/main" id="{00000000-0008-0000-0800-000028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89" name="Group 114">
                  <a:extLst>
                    <a:ext uri="{FF2B5EF4-FFF2-40B4-BE49-F238E27FC236}">
                      <a16:creationId xmlns:a16="http://schemas.microsoft.com/office/drawing/2014/main" id="{00000000-0008-0000-0800-00002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93" name="Line 115">
                    <a:extLst>
                      <a:ext uri="{FF2B5EF4-FFF2-40B4-BE49-F238E27FC236}">
                        <a16:creationId xmlns:a16="http://schemas.microsoft.com/office/drawing/2014/main" id="{00000000-0008-0000-0800-00002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94" name="Line 116">
                    <a:extLst>
                      <a:ext uri="{FF2B5EF4-FFF2-40B4-BE49-F238E27FC236}">
                        <a16:creationId xmlns:a16="http://schemas.microsoft.com/office/drawing/2014/main" id="{00000000-0008-0000-0800-00002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90" name="Group 117">
                  <a:extLst>
                    <a:ext uri="{FF2B5EF4-FFF2-40B4-BE49-F238E27FC236}">
                      <a16:creationId xmlns:a16="http://schemas.microsoft.com/office/drawing/2014/main" id="{00000000-0008-0000-0800-00002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91" name="Line 118">
                    <a:extLst>
                      <a:ext uri="{FF2B5EF4-FFF2-40B4-BE49-F238E27FC236}">
                        <a16:creationId xmlns:a16="http://schemas.microsoft.com/office/drawing/2014/main" id="{00000000-0008-0000-0800-000023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92" name="Line 119">
                    <a:extLst>
                      <a:ext uri="{FF2B5EF4-FFF2-40B4-BE49-F238E27FC236}">
                        <a16:creationId xmlns:a16="http://schemas.microsoft.com/office/drawing/2014/main" id="{00000000-0008-0000-0800-000024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269" name="Group 120">
                <a:extLst>
                  <a:ext uri="{FF2B5EF4-FFF2-40B4-BE49-F238E27FC236}">
                    <a16:creationId xmlns:a16="http://schemas.microsoft.com/office/drawing/2014/main" id="{00000000-0008-0000-0800-00000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271" name="Group 121">
                  <a:extLst>
                    <a:ext uri="{FF2B5EF4-FFF2-40B4-BE49-F238E27FC236}">
                      <a16:creationId xmlns:a16="http://schemas.microsoft.com/office/drawing/2014/main" id="{00000000-0008-0000-0800-00000F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85" name="Line 122">
                    <a:extLst>
                      <a:ext uri="{FF2B5EF4-FFF2-40B4-BE49-F238E27FC236}">
                        <a16:creationId xmlns:a16="http://schemas.microsoft.com/office/drawing/2014/main" id="{00000000-0008-0000-0800-00001D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86" name="Line 123">
                    <a:extLst>
                      <a:ext uri="{FF2B5EF4-FFF2-40B4-BE49-F238E27FC236}">
                        <a16:creationId xmlns:a16="http://schemas.microsoft.com/office/drawing/2014/main" id="{00000000-0008-0000-0800-00001E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72" name="Group 124">
                  <a:extLst>
                    <a:ext uri="{FF2B5EF4-FFF2-40B4-BE49-F238E27FC236}">
                      <a16:creationId xmlns:a16="http://schemas.microsoft.com/office/drawing/2014/main" id="{00000000-0008-0000-0800-000010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83" name="Line 125">
                    <a:extLst>
                      <a:ext uri="{FF2B5EF4-FFF2-40B4-BE49-F238E27FC236}">
                        <a16:creationId xmlns:a16="http://schemas.microsoft.com/office/drawing/2014/main" id="{00000000-0008-0000-0800-00001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84" name="Line 126">
                    <a:extLst>
                      <a:ext uri="{FF2B5EF4-FFF2-40B4-BE49-F238E27FC236}">
                        <a16:creationId xmlns:a16="http://schemas.microsoft.com/office/drawing/2014/main" id="{00000000-0008-0000-0800-00001C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73" name="Group 127">
                  <a:extLst>
                    <a:ext uri="{FF2B5EF4-FFF2-40B4-BE49-F238E27FC236}">
                      <a16:creationId xmlns:a16="http://schemas.microsoft.com/office/drawing/2014/main" id="{00000000-0008-0000-0800-00001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81" name="Line 128">
                    <a:extLst>
                      <a:ext uri="{FF2B5EF4-FFF2-40B4-BE49-F238E27FC236}">
                        <a16:creationId xmlns:a16="http://schemas.microsoft.com/office/drawing/2014/main" id="{00000000-0008-0000-0800-00001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82" name="Line 129">
                    <a:extLst>
                      <a:ext uri="{FF2B5EF4-FFF2-40B4-BE49-F238E27FC236}">
                        <a16:creationId xmlns:a16="http://schemas.microsoft.com/office/drawing/2014/main" id="{00000000-0008-0000-0800-00001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74" name="Group 130">
                  <a:extLst>
                    <a:ext uri="{FF2B5EF4-FFF2-40B4-BE49-F238E27FC236}">
                      <a16:creationId xmlns:a16="http://schemas.microsoft.com/office/drawing/2014/main" id="{00000000-0008-0000-0800-00001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79" name="Line 131">
                    <a:extLst>
                      <a:ext uri="{FF2B5EF4-FFF2-40B4-BE49-F238E27FC236}">
                        <a16:creationId xmlns:a16="http://schemas.microsoft.com/office/drawing/2014/main" id="{00000000-0008-0000-0800-00001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80" name="Line 132">
                    <a:extLst>
                      <a:ext uri="{FF2B5EF4-FFF2-40B4-BE49-F238E27FC236}">
                        <a16:creationId xmlns:a16="http://schemas.microsoft.com/office/drawing/2014/main" id="{00000000-0008-0000-0800-000018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275" name="Group 133">
                  <a:extLst>
                    <a:ext uri="{FF2B5EF4-FFF2-40B4-BE49-F238E27FC236}">
                      <a16:creationId xmlns:a16="http://schemas.microsoft.com/office/drawing/2014/main" id="{00000000-0008-0000-0800-000013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277" name="Line 134">
                    <a:extLst>
                      <a:ext uri="{FF2B5EF4-FFF2-40B4-BE49-F238E27FC236}">
                        <a16:creationId xmlns:a16="http://schemas.microsoft.com/office/drawing/2014/main" id="{00000000-0008-0000-0800-00001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78" name="Line 135">
                    <a:extLst>
                      <a:ext uri="{FF2B5EF4-FFF2-40B4-BE49-F238E27FC236}">
                        <a16:creationId xmlns:a16="http://schemas.microsoft.com/office/drawing/2014/main" id="{00000000-0008-0000-0800-00001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276" name="Line 136">
                  <a:extLst>
                    <a:ext uri="{FF2B5EF4-FFF2-40B4-BE49-F238E27FC236}">
                      <a16:creationId xmlns:a16="http://schemas.microsoft.com/office/drawing/2014/main" id="{00000000-0008-0000-0800-000014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270" name="Line 137">
                <a:extLst>
                  <a:ext uri="{FF2B5EF4-FFF2-40B4-BE49-F238E27FC236}">
                    <a16:creationId xmlns:a16="http://schemas.microsoft.com/office/drawing/2014/main" id="{00000000-0008-0000-0800-00000E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52" name="Group 138">
              <a:extLst>
                <a:ext uri="{FF2B5EF4-FFF2-40B4-BE49-F238E27FC236}">
                  <a16:creationId xmlns:a16="http://schemas.microsoft.com/office/drawing/2014/main" id="{00000000-0008-0000-0800-0000F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253" name="Rectangle 139">
                <a:extLst>
                  <a:ext uri="{FF2B5EF4-FFF2-40B4-BE49-F238E27FC236}">
                    <a16:creationId xmlns:a16="http://schemas.microsoft.com/office/drawing/2014/main" id="{00000000-0008-0000-0800-0000F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254" name="Group 140">
                <a:extLst>
                  <a:ext uri="{FF2B5EF4-FFF2-40B4-BE49-F238E27FC236}">
                    <a16:creationId xmlns:a16="http://schemas.microsoft.com/office/drawing/2014/main" id="{00000000-0008-0000-0800-0000F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255" name="Oval 141">
                  <a:extLst>
                    <a:ext uri="{FF2B5EF4-FFF2-40B4-BE49-F238E27FC236}">
                      <a16:creationId xmlns:a16="http://schemas.microsoft.com/office/drawing/2014/main" id="{00000000-0008-0000-0800-0000F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  <a:gs pos="50000">
                      <a:srgbClr xmlns:mc="http://schemas.openxmlformats.org/markup-compatibility/2006" xmlns:a14="http://schemas.microsoft.com/office/drawing/2010/main" val="FFFFFF" mc:Ignorable="a14" a14:legacySpreadsheetColorIndex="9"/>
                    </a:gs>
                    <a:gs pos="10000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256" name="Group 142">
                  <a:extLst>
                    <a:ext uri="{FF2B5EF4-FFF2-40B4-BE49-F238E27FC236}">
                      <a16:creationId xmlns:a16="http://schemas.microsoft.com/office/drawing/2014/main" id="{00000000-0008-0000-0800-000000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261" name="Group 143">
                    <a:extLst>
                      <a:ext uri="{FF2B5EF4-FFF2-40B4-BE49-F238E27FC236}">
                        <a16:creationId xmlns:a16="http://schemas.microsoft.com/office/drawing/2014/main" id="{00000000-0008-0000-0800-000005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265" name="Oval 144">
                      <a:extLst>
                        <a:ext uri="{FF2B5EF4-FFF2-40B4-BE49-F238E27FC236}">
                          <a16:creationId xmlns:a16="http://schemas.microsoft.com/office/drawing/2014/main" id="{00000000-0008-0000-0800-000009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66" name="AutoShape 145">
                      <a:extLst>
                        <a:ext uri="{FF2B5EF4-FFF2-40B4-BE49-F238E27FC236}">
                          <a16:creationId xmlns:a16="http://schemas.microsoft.com/office/drawing/2014/main" id="{00000000-0008-0000-0800-00000A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262" name="Group 146">
                    <a:extLst>
                      <a:ext uri="{FF2B5EF4-FFF2-40B4-BE49-F238E27FC236}">
                        <a16:creationId xmlns:a16="http://schemas.microsoft.com/office/drawing/2014/main" id="{00000000-0008-0000-0800-000006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263" name="Oval 147">
                      <a:extLst>
                        <a:ext uri="{FF2B5EF4-FFF2-40B4-BE49-F238E27FC236}">
                          <a16:creationId xmlns:a16="http://schemas.microsoft.com/office/drawing/2014/main" id="{00000000-0008-0000-0800-000007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64" name="AutoShape 148">
                      <a:extLst>
                        <a:ext uri="{FF2B5EF4-FFF2-40B4-BE49-F238E27FC236}">
                          <a16:creationId xmlns:a16="http://schemas.microsoft.com/office/drawing/2014/main" id="{00000000-0008-0000-0800-000008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257" name="Line 149">
                  <a:extLst>
                    <a:ext uri="{FF2B5EF4-FFF2-40B4-BE49-F238E27FC236}">
                      <a16:creationId xmlns:a16="http://schemas.microsoft.com/office/drawing/2014/main" id="{00000000-0008-0000-0800-000001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258" name="Group 150">
                  <a:extLst>
                    <a:ext uri="{FF2B5EF4-FFF2-40B4-BE49-F238E27FC236}">
                      <a16:creationId xmlns:a16="http://schemas.microsoft.com/office/drawing/2014/main" id="{00000000-0008-0000-0800-00000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259" name="Oval 151">
                    <a:extLst>
                      <a:ext uri="{FF2B5EF4-FFF2-40B4-BE49-F238E27FC236}">
                        <a16:creationId xmlns:a16="http://schemas.microsoft.com/office/drawing/2014/main" id="{00000000-0008-0000-0800-000003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260" name="Rectangle 152">
                    <a:extLst>
                      <a:ext uri="{FF2B5EF4-FFF2-40B4-BE49-F238E27FC236}">
                        <a16:creationId xmlns:a16="http://schemas.microsoft.com/office/drawing/2014/main" id="{00000000-0008-0000-0800-000004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250" name="Rectangle 153">
            <a:extLst>
              <a:ext uri="{FF2B5EF4-FFF2-40B4-BE49-F238E27FC236}">
                <a16:creationId xmlns:a16="http://schemas.microsoft.com/office/drawing/2014/main" id="{00000000-0008-0000-0800-0000FA00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365331</xdr:colOff>
      <xdr:row>1</xdr:row>
      <xdr:rowOff>31816</xdr:rowOff>
    </xdr:from>
    <xdr:to>
      <xdr:col>15</xdr:col>
      <xdr:colOff>40433</xdr:colOff>
      <xdr:row>28</xdr:row>
      <xdr:rowOff>63562</xdr:rowOff>
    </xdr:to>
    <xdr:cxnSp macro="">
      <xdr:nvCxnSpPr>
        <xdr:cNvPr id="311" name="Elbow Connector 310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CxnSpPr>
          <a:stCxn id="253" idx="1"/>
          <a:endCxn id="60" idx="1"/>
        </xdr:cNvCxnSpPr>
      </xdr:nvCxnSpPr>
      <xdr:spPr>
        <a:xfrm>
          <a:off x="4784931" y="222316"/>
          <a:ext cx="3332702" cy="5175246"/>
        </a:xfrm>
        <a:prstGeom prst="bentConnector3">
          <a:avLst>
            <a:gd name="adj1" fmla="val 9477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384985</xdr:colOff>
      <xdr:row>3</xdr:row>
      <xdr:rowOff>71837</xdr:rowOff>
    </xdr:from>
    <xdr:to>
      <xdr:col>7</xdr:col>
      <xdr:colOff>327742</xdr:colOff>
      <xdr:row>14</xdr:row>
      <xdr:rowOff>14698</xdr:rowOff>
    </xdr:to>
    <xdr:cxnSp macro="">
      <xdr:nvCxnSpPr>
        <xdr:cNvPr id="312" name="Elbow Connector 31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CxnSpPr>
          <a:stCxn id="322" idx="2"/>
          <a:endCxn id="235" idx="2"/>
        </xdr:cNvCxnSpPr>
      </xdr:nvCxnSpPr>
      <xdr:spPr>
        <a:xfrm rot="10800000">
          <a:off x="3366310" y="643337"/>
          <a:ext cx="552357" cy="2038361"/>
        </a:xfrm>
        <a:prstGeom prst="bentConnector3">
          <a:avLst>
            <a:gd name="adj1" fmla="val 141021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526870</xdr:colOff>
      <xdr:row>10</xdr:row>
      <xdr:rowOff>171437</xdr:rowOff>
    </xdr:from>
    <xdr:to>
      <xdr:col>7</xdr:col>
      <xdr:colOff>476250</xdr:colOff>
      <xdr:row>14</xdr:row>
      <xdr:rowOff>162539</xdr:rowOff>
    </xdr:to>
    <xdr:cxnSp macro="">
      <xdr:nvCxnSpPr>
        <xdr:cNvPr id="313" name="Elbow Connector 312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CxnSpPr>
          <a:stCxn id="237" idx="4"/>
          <a:endCxn id="322" idx="4"/>
        </xdr:cNvCxnSpPr>
      </xdr:nvCxnSpPr>
      <xdr:spPr>
        <a:xfrm rot="16200000" flipH="1">
          <a:off x="3411134" y="2173498"/>
          <a:ext cx="753102" cy="558980"/>
        </a:xfrm>
        <a:prstGeom prst="bentConnector3">
          <a:avLst>
            <a:gd name="adj1" fmla="val 129708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30725</xdr:colOff>
      <xdr:row>18</xdr:row>
      <xdr:rowOff>0</xdr:rowOff>
    </xdr:from>
    <xdr:to>
      <xdr:col>9</xdr:col>
      <xdr:colOff>266291</xdr:colOff>
      <xdr:row>19</xdr:row>
      <xdr:rowOff>6349</xdr:rowOff>
    </xdr:to>
    <xdr:grpSp>
      <xdr:nvGrpSpPr>
        <xdr:cNvPr id="314" name="Group 179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GrpSpPr>
          <a:grpSpLocks/>
        </xdr:cNvGrpSpPr>
      </xdr:nvGrpSpPr>
      <xdr:grpSpPr bwMode="auto">
        <a:xfrm flipH="1">
          <a:off x="4450325" y="3429000"/>
          <a:ext cx="235566" cy="196849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315" name="AutoShape 180">
            <a:extLst>
              <a:ext uri="{FF2B5EF4-FFF2-40B4-BE49-F238E27FC236}">
                <a16:creationId xmlns:a16="http://schemas.microsoft.com/office/drawing/2014/main" id="{00000000-0008-0000-0800-00003B01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71" y="505"/>
            <a:ext cx="58" cy="11"/>
          </a:xfrm>
          <a:custGeom>
            <a:avLst/>
            <a:gdLst>
              <a:gd name="T0" fmla="*/ 51 w 21600"/>
              <a:gd name="T1" fmla="*/ 6 h 21600"/>
              <a:gd name="T2" fmla="*/ 29 w 21600"/>
              <a:gd name="T3" fmla="*/ 11 h 21600"/>
              <a:gd name="T4" fmla="*/ 7 w 21600"/>
              <a:gd name="T5" fmla="*/ 6 h 21600"/>
              <a:gd name="T6" fmla="*/ 29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469 w 21600"/>
              <a:gd name="T13" fmla="*/ 3927 h 21600"/>
              <a:gd name="T14" fmla="*/ 17131 w 21600"/>
              <a:gd name="T15" fmla="*/ 17673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316" name="Group 181">
            <a:extLst>
              <a:ext uri="{FF2B5EF4-FFF2-40B4-BE49-F238E27FC236}">
                <a16:creationId xmlns:a16="http://schemas.microsoft.com/office/drawing/2014/main" id="{00000000-0008-0000-0800-00003C01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317" name="Rectangle 182">
              <a:extLst>
                <a:ext uri="{FF2B5EF4-FFF2-40B4-BE49-F238E27FC236}">
                  <a16:creationId xmlns:a16="http://schemas.microsoft.com/office/drawing/2014/main" id="{00000000-0008-0000-0800-00003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grpSp>
          <xdr:nvGrpSpPr>
            <xdr:cNvPr id="318" name="Group 183">
              <a:extLst>
                <a:ext uri="{FF2B5EF4-FFF2-40B4-BE49-F238E27FC236}">
                  <a16:creationId xmlns:a16="http://schemas.microsoft.com/office/drawing/2014/main" id="{00000000-0008-0000-0800-00003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319" name="Oval 184">
                <a:extLst>
                  <a:ext uri="{FF2B5EF4-FFF2-40B4-BE49-F238E27FC236}">
                    <a16:creationId xmlns:a16="http://schemas.microsoft.com/office/drawing/2014/main" id="{00000000-0008-0000-0800-00003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20" name="Oval 185">
                <a:extLst>
                  <a:ext uri="{FF2B5EF4-FFF2-40B4-BE49-F238E27FC236}">
                    <a16:creationId xmlns:a16="http://schemas.microsoft.com/office/drawing/2014/main" id="{00000000-0008-0000-0800-00004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7</xdr:col>
      <xdr:colOff>327741</xdr:colOff>
      <xdr:row>13</xdr:row>
      <xdr:rowOff>61452</xdr:rowOff>
    </xdr:from>
    <xdr:to>
      <xdr:col>8</xdr:col>
      <xdr:colOff>10241</xdr:colOff>
      <xdr:row>14</xdr:row>
      <xdr:rowOff>162540</xdr:rowOff>
    </xdr:to>
    <xdr:grpSp>
      <xdr:nvGrpSpPr>
        <xdr:cNvPr id="321" name="Group 16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GrpSpPr>
          <a:grpSpLocks/>
        </xdr:cNvGrpSpPr>
      </xdr:nvGrpSpPr>
      <xdr:grpSpPr bwMode="auto">
        <a:xfrm>
          <a:off x="3918666" y="2537952"/>
          <a:ext cx="292100" cy="291588"/>
          <a:chOff x="1765300" y="11734800"/>
          <a:chExt cx="533401" cy="561975"/>
        </a:xfrm>
      </xdr:grpSpPr>
      <xdr:sp macro="" textlink="">
        <xdr:nvSpPr>
          <xdr:cNvPr id="322" name="Oval 323">
            <a:extLst>
              <a:ext uri="{FF2B5EF4-FFF2-40B4-BE49-F238E27FC236}">
                <a16:creationId xmlns:a16="http://schemas.microsoft.com/office/drawing/2014/main" id="{00000000-0008-0000-0800-000042010000}"/>
              </a:ext>
            </a:extLst>
          </xdr:cNvPr>
          <xdr:cNvSpPr>
            <a:spLocks noChangeArrowheads="1"/>
          </xdr:cNvSpPr>
        </xdr:nvSpPr>
        <xdr:spPr bwMode="auto">
          <a:xfrm>
            <a:off x="1765300" y="11734800"/>
            <a:ext cx="533401" cy="561975"/>
          </a:xfrm>
          <a:prstGeom prst="ellipse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23" name="Straight Connector 2">
            <a:extLst>
              <a:ext uri="{FF2B5EF4-FFF2-40B4-BE49-F238E27FC236}">
                <a16:creationId xmlns:a16="http://schemas.microsoft.com/office/drawing/2014/main" id="{00000000-0008-0000-0800-000043010000}"/>
              </a:ext>
            </a:extLst>
          </xdr:cNvPr>
          <xdr:cNvCxnSpPr>
            <a:cxnSpLocks noChangeShapeType="1"/>
            <a:stCxn id="322" idx="0"/>
          </xdr:cNvCxnSpPr>
        </xdr:nvCxnSpPr>
        <xdr:spPr bwMode="auto">
          <a:xfrm flipH="1">
            <a:off x="2032000" y="11734800"/>
            <a:ext cx="1" cy="149225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24" name="Straight Connector 4">
            <a:extLst>
              <a:ext uri="{FF2B5EF4-FFF2-40B4-BE49-F238E27FC236}">
                <a16:creationId xmlns:a16="http://schemas.microsoft.com/office/drawing/2014/main" id="{00000000-0008-0000-0800-00004401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33588" y="11877675"/>
            <a:ext cx="125412" cy="5715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25" name="Straight Connector 6">
            <a:extLst>
              <a:ext uri="{FF2B5EF4-FFF2-40B4-BE49-F238E27FC236}">
                <a16:creationId xmlns:a16="http://schemas.microsoft.com/office/drawing/2014/main" id="{00000000-0008-0000-0800-00004501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919288" y="11934825"/>
            <a:ext cx="227012" cy="176213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26" name="Straight Connector 8">
            <a:extLst>
              <a:ext uri="{FF2B5EF4-FFF2-40B4-BE49-F238E27FC236}">
                <a16:creationId xmlns:a16="http://schemas.microsoft.com/office/drawing/2014/main" id="{00000000-0008-0000-0800-000046010000}"/>
              </a:ext>
            </a:extLst>
          </xdr:cNvPr>
          <xdr:cNvCxnSpPr>
            <a:cxnSpLocks noChangeShapeType="1"/>
            <a:stCxn id="322" idx="4"/>
          </xdr:cNvCxnSpPr>
        </xdr:nvCxnSpPr>
        <xdr:spPr bwMode="auto">
          <a:xfrm flipH="1" flipV="1">
            <a:off x="2032000" y="12169775"/>
            <a:ext cx="1" cy="12700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27" name="Straight Connector 11">
            <a:extLst>
              <a:ext uri="{FF2B5EF4-FFF2-40B4-BE49-F238E27FC236}">
                <a16:creationId xmlns:a16="http://schemas.microsoft.com/office/drawing/2014/main" id="{00000000-0008-0000-0800-00004701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905000" y="12109450"/>
            <a:ext cx="127000" cy="60325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9</xdr:col>
      <xdr:colOff>247294</xdr:colOff>
      <xdr:row>15</xdr:row>
      <xdr:rowOff>136329</xdr:rowOff>
    </xdr:from>
    <xdr:to>
      <xdr:col>10</xdr:col>
      <xdr:colOff>48957</xdr:colOff>
      <xdr:row>18</xdr:row>
      <xdr:rowOff>92101</xdr:rowOff>
    </xdr:to>
    <xdr:cxnSp macro="">
      <xdr:nvCxnSpPr>
        <xdr:cNvPr id="328" name="Elbow Connector 327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CxnSpPr>
          <a:stCxn id="243" idx="2"/>
          <a:endCxn id="319" idx="2"/>
        </xdr:cNvCxnSpPr>
      </xdr:nvCxnSpPr>
      <xdr:spPr>
        <a:xfrm rot="5400000">
          <a:off x="4608890" y="3051833"/>
          <a:ext cx="527272" cy="411263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10241</xdr:colOff>
      <xdr:row>14</xdr:row>
      <xdr:rowOff>14698</xdr:rowOff>
    </xdr:from>
    <xdr:to>
      <xdr:col>9</xdr:col>
      <xdr:colOff>30725</xdr:colOff>
      <xdr:row>18</xdr:row>
      <xdr:rowOff>29305</xdr:rowOff>
    </xdr:to>
    <xdr:cxnSp macro="">
      <xdr:nvCxnSpPr>
        <xdr:cNvPr id="329" name="Elbow Connector 328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CxnSpPr>
          <a:stCxn id="317" idx="3"/>
          <a:endCxn id="322" idx="6"/>
        </xdr:cNvCxnSpPr>
      </xdr:nvCxnSpPr>
      <xdr:spPr>
        <a:xfrm rot="10800000">
          <a:off x="4210766" y="2681698"/>
          <a:ext cx="239559" cy="776607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476249</xdr:colOff>
      <xdr:row>11</xdr:row>
      <xdr:rowOff>23869</xdr:rowOff>
    </xdr:from>
    <xdr:to>
      <xdr:col>9</xdr:col>
      <xdr:colOff>517416</xdr:colOff>
      <xdr:row>13</xdr:row>
      <xdr:rowOff>61453</xdr:rowOff>
    </xdr:to>
    <xdr:cxnSp macro="">
      <xdr:nvCxnSpPr>
        <xdr:cNvPr id="330" name="Elbow Connector 329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CxnSpPr>
          <a:stCxn id="322" idx="0"/>
          <a:endCxn id="245" idx="1"/>
        </xdr:cNvCxnSpPr>
      </xdr:nvCxnSpPr>
      <xdr:spPr>
        <a:xfrm rot="5400000" flipH="1" flipV="1">
          <a:off x="4292803" y="1893740"/>
          <a:ext cx="418584" cy="869842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425654</xdr:colOff>
      <xdr:row>13</xdr:row>
      <xdr:rowOff>51210</xdr:rowOff>
    </xdr:from>
    <xdr:to>
      <xdr:col>11</xdr:col>
      <xdr:colOff>583791</xdr:colOff>
      <xdr:row>14</xdr:row>
      <xdr:rowOff>129459</xdr:rowOff>
    </xdr:to>
    <xdr:grpSp>
      <xdr:nvGrpSpPr>
        <xdr:cNvPr id="331" name="Group 255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GrpSpPr>
          <a:grpSpLocks/>
        </xdr:cNvGrpSpPr>
      </xdr:nvGrpSpPr>
      <xdr:grpSpPr bwMode="auto">
        <a:xfrm>
          <a:off x="5454854" y="2527710"/>
          <a:ext cx="767737" cy="268749"/>
          <a:chOff x="1223" y="535"/>
          <a:chExt cx="196" cy="41"/>
        </a:xfrm>
      </xdr:grpSpPr>
      <xdr:sp macro="" textlink="">
        <xdr:nvSpPr>
          <xdr:cNvPr id="332" name="Rectangle 256">
            <a:extLst>
              <a:ext uri="{FF2B5EF4-FFF2-40B4-BE49-F238E27FC236}">
                <a16:creationId xmlns:a16="http://schemas.microsoft.com/office/drawing/2014/main" id="{00000000-0008-0000-0800-00004C010000}"/>
              </a:ext>
            </a:extLst>
          </xdr:cNvPr>
          <xdr:cNvSpPr>
            <a:spLocks noChangeArrowheads="1"/>
          </xdr:cNvSpPr>
        </xdr:nvSpPr>
        <xdr:spPr bwMode="auto">
          <a:xfrm>
            <a:off x="1364" y="550"/>
            <a:ext cx="27" cy="18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3" name="Rectangle 257">
            <a:extLst>
              <a:ext uri="{FF2B5EF4-FFF2-40B4-BE49-F238E27FC236}">
                <a16:creationId xmlns:a16="http://schemas.microsoft.com/office/drawing/2014/main" id="{00000000-0008-0000-0800-00004D010000}"/>
              </a:ext>
            </a:extLst>
          </xdr:cNvPr>
          <xdr:cNvSpPr>
            <a:spLocks noChangeArrowheads="1"/>
          </xdr:cNvSpPr>
        </xdr:nvSpPr>
        <xdr:spPr bwMode="auto">
          <a:xfrm>
            <a:off x="1391" y="551"/>
            <a:ext cx="28" cy="17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4" name="Oval 258">
            <a:extLst>
              <a:ext uri="{FF2B5EF4-FFF2-40B4-BE49-F238E27FC236}">
                <a16:creationId xmlns:a16="http://schemas.microsoft.com/office/drawing/2014/main" id="{00000000-0008-0000-0800-00004E010000}"/>
              </a:ext>
            </a:extLst>
          </xdr:cNvPr>
          <xdr:cNvSpPr>
            <a:spLocks noChangeArrowheads="1"/>
          </xdr:cNvSpPr>
        </xdr:nvSpPr>
        <xdr:spPr bwMode="auto">
          <a:xfrm>
            <a:off x="1223" y="535"/>
            <a:ext cx="38" cy="33"/>
          </a:xfrm>
          <a:prstGeom prst="ellipse">
            <a:avLst/>
          </a:prstGeom>
          <a:gradFill rotWithShape="0">
            <a:gsLst>
              <a:gs pos="0">
                <a:srgbClr val="767676"/>
              </a:gs>
              <a:gs pos="50000">
                <a:srgbClr xmlns:mc="http://schemas.openxmlformats.org/markup-compatibility/2006" xmlns:a14="http://schemas.microsoft.com/office/drawing/2010/main" val="FFFFFF" mc:Ignorable="a14" a14:legacySpreadsheetColorIndex="65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5" name="Rectangle 259">
            <a:extLst>
              <a:ext uri="{FF2B5EF4-FFF2-40B4-BE49-F238E27FC236}">
                <a16:creationId xmlns:a16="http://schemas.microsoft.com/office/drawing/2014/main" id="{00000000-0008-0000-0800-00004F010000}"/>
              </a:ext>
            </a:extLst>
          </xdr:cNvPr>
          <xdr:cNvSpPr>
            <a:spLocks noChangeArrowheads="1"/>
          </xdr:cNvSpPr>
        </xdr:nvSpPr>
        <xdr:spPr bwMode="auto">
          <a:xfrm>
            <a:off x="1242" y="535"/>
            <a:ext cx="122" cy="33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6" name="AutoShape 260">
            <a:extLst>
              <a:ext uri="{FF2B5EF4-FFF2-40B4-BE49-F238E27FC236}">
                <a16:creationId xmlns:a16="http://schemas.microsoft.com/office/drawing/2014/main" id="{00000000-0008-0000-0800-000050010000}"/>
              </a:ext>
            </a:extLst>
          </xdr:cNvPr>
          <xdr:cNvSpPr>
            <a:spLocks noChangeArrowheads="1"/>
          </xdr:cNvSpPr>
        </xdr:nvSpPr>
        <xdr:spPr bwMode="auto">
          <a:xfrm>
            <a:off x="1364" y="535"/>
            <a:ext cx="26" cy="15"/>
          </a:xfrm>
          <a:prstGeom prst="rtTriangle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7" name="Rectangle 261">
            <a:extLst>
              <a:ext uri="{FF2B5EF4-FFF2-40B4-BE49-F238E27FC236}">
                <a16:creationId xmlns:a16="http://schemas.microsoft.com/office/drawing/2014/main" id="{00000000-0008-0000-0800-000051010000}"/>
              </a:ext>
            </a:extLst>
          </xdr:cNvPr>
          <xdr:cNvSpPr>
            <a:spLocks noChangeArrowheads="1"/>
          </xdr:cNvSpPr>
        </xdr:nvSpPr>
        <xdr:spPr bwMode="auto">
          <a:xfrm>
            <a:off x="1414" y="543"/>
            <a:ext cx="5" cy="33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xmlns:mc="http://schemas.openxmlformats.org/markup-compatibility/2006" xmlns:a14="http://schemas.microsoft.com/office/drawing/2010/main" val="FFFFFF" mc:Ignorable="a14" a14:legacySpreadsheetColorIndex="65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8" name="Rectangle 262">
            <a:extLst>
              <a:ext uri="{FF2B5EF4-FFF2-40B4-BE49-F238E27FC236}">
                <a16:creationId xmlns:a16="http://schemas.microsoft.com/office/drawing/2014/main" id="{00000000-0008-0000-0800-000052010000}"/>
              </a:ext>
            </a:extLst>
          </xdr:cNvPr>
          <xdr:cNvSpPr>
            <a:spLocks noChangeArrowheads="1"/>
          </xdr:cNvSpPr>
        </xdr:nvSpPr>
        <xdr:spPr bwMode="auto">
          <a:xfrm>
            <a:off x="1397" y="543"/>
            <a:ext cx="5" cy="33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xmlns:mc="http://schemas.openxmlformats.org/markup-compatibility/2006" xmlns:a14="http://schemas.microsoft.com/office/drawing/2010/main" val="FFFFFF" mc:Ignorable="a14" a14:legacySpreadsheetColorIndex="65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11</xdr:col>
      <xdr:colOff>399436</xdr:colOff>
      <xdr:row>6</xdr:row>
      <xdr:rowOff>102419</xdr:rowOff>
    </xdr:from>
    <xdr:to>
      <xdr:col>12</xdr:col>
      <xdr:colOff>204839</xdr:colOff>
      <xdr:row>7</xdr:row>
      <xdr:rowOff>111330</xdr:rowOff>
    </xdr:to>
    <xdr:grpSp>
      <xdr:nvGrpSpPr>
        <xdr:cNvPr id="339" name="Group 322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GrpSpPr>
          <a:grpSpLocks/>
        </xdr:cNvGrpSpPr>
      </xdr:nvGrpSpPr>
      <xdr:grpSpPr bwMode="auto">
        <a:xfrm>
          <a:off x="6038236" y="1245419"/>
          <a:ext cx="415003" cy="199411"/>
          <a:chOff x="2933" y="2069"/>
          <a:chExt cx="175" cy="59"/>
        </a:xfrm>
      </xdr:grpSpPr>
      <xdr:sp macro="" textlink="">
        <xdr:nvSpPr>
          <xdr:cNvPr id="340" name="Oval 323">
            <a:extLst>
              <a:ext uri="{FF2B5EF4-FFF2-40B4-BE49-F238E27FC236}">
                <a16:creationId xmlns:a16="http://schemas.microsoft.com/office/drawing/2014/main" id="{00000000-0008-0000-0800-000054010000}"/>
              </a:ext>
            </a:extLst>
          </xdr:cNvPr>
          <xdr:cNvSpPr>
            <a:spLocks noChangeArrowheads="1"/>
          </xdr:cNvSpPr>
        </xdr:nvSpPr>
        <xdr:spPr bwMode="auto">
          <a:xfrm>
            <a:off x="3067" y="2069"/>
            <a:ext cx="41" cy="59"/>
          </a:xfrm>
          <a:prstGeom prst="ellipse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1" name="Oval 324">
            <a:extLst>
              <a:ext uri="{FF2B5EF4-FFF2-40B4-BE49-F238E27FC236}">
                <a16:creationId xmlns:a16="http://schemas.microsoft.com/office/drawing/2014/main" id="{00000000-0008-0000-0800-000055010000}"/>
              </a:ext>
            </a:extLst>
          </xdr:cNvPr>
          <xdr:cNvSpPr>
            <a:spLocks noChangeArrowheads="1"/>
          </xdr:cNvSpPr>
        </xdr:nvSpPr>
        <xdr:spPr bwMode="auto">
          <a:xfrm>
            <a:off x="2933" y="2069"/>
            <a:ext cx="41" cy="59"/>
          </a:xfrm>
          <a:prstGeom prst="ellipse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2" name="Rectangle 325">
            <a:extLst>
              <a:ext uri="{FF2B5EF4-FFF2-40B4-BE49-F238E27FC236}">
                <a16:creationId xmlns:a16="http://schemas.microsoft.com/office/drawing/2014/main" id="{00000000-0008-0000-0800-000056010000}"/>
              </a:ext>
            </a:extLst>
          </xdr:cNvPr>
          <xdr:cNvSpPr>
            <a:spLocks noChangeArrowheads="1"/>
          </xdr:cNvSpPr>
        </xdr:nvSpPr>
        <xdr:spPr bwMode="auto">
          <a:xfrm>
            <a:off x="2952" y="2069"/>
            <a:ext cx="136" cy="59"/>
          </a:xfrm>
          <a:prstGeom prst="rect">
            <a:avLst/>
          </a:prstGeom>
          <a:gradFill rotWithShape="0">
            <a:gsLst>
              <a:gs pos="0">
                <a:srgbClr val="767676"/>
              </a:gs>
              <a:gs pos="50000">
                <a:srgbClr val="FFFFFF"/>
              </a:gs>
              <a:gs pos="100000">
                <a:srgbClr val="767676"/>
              </a:gs>
            </a:gsLst>
            <a:lin ang="540000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11</xdr:col>
      <xdr:colOff>276532</xdr:colOff>
      <xdr:row>9</xdr:row>
      <xdr:rowOff>153628</xdr:rowOff>
    </xdr:from>
    <xdr:to>
      <xdr:col>11</xdr:col>
      <xdr:colOff>512098</xdr:colOff>
      <xdr:row>10</xdr:row>
      <xdr:rowOff>159977</xdr:rowOff>
    </xdr:to>
    <xdr:grpSp>
      <xdr:nvGrpSpPr>
        <xdr:cNvPr id="343" name="Group 179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GrpSpPr>
          <a:grpSpLocks/>
        </xdr:cNvGrpSpPr>
      </xdr:nvGrpSpPr>
      <xdr:grpSpPr bwMode="auto">
        <a:xfrm flipH="1">
          <a:off x="5915332" y="1868128"/>
          <a:ext cx="235566" cy="196849"/>
          <a:chOff x="371" y="468"/>
          <a:chExt cx="62" cy="48"/>
        </a:xfrm>
        <a:solidFill>
          <a:schemeClr val="bg1">
            <a:lumMod val="65000"/>
          </a:schemeClr>
        </a:solidFill>
      </xdr:grpSpPr>
      <xdr:sp macro="" textlink="">
        <xdr:nvSpPr>
          <xdr:cNvPr id="344" name="AutoShape 180">
            <a:extLst>
              <a:ext uri="{FF2B5EF4-FFF2-40B4-BE49-F238E27FC236}">
                <a16:creationId xmlns:a16="http://schemas.microsoft.com/office/drawing/2014/main" id="{00000000-0008-0000-0800-00005801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71" y="505"/>
            <a:ext cx="58" cy="11"/>
          </a:xfrm>
          <a:custGeom>
            <a:avLst/>
            <a:gdLst>
              <a:gd name="T0" fmla="*/ 51 w 21600"/>
              <a:gd name="T1" fmla="*/ 6 h 21600"/>
              <a:gd name="T2" fmla="*/ 29 w 21600"/>
              <a:gd name="T3" fmla="*/ 11 h 21600"/>
              <a:gd name="T4" fmla="*/ 7 w 21600"/>
              <a:gd name="T5" fmla="*/ 6 h 21600"/>
              <a:gd name="T6" fmla="*/ 29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469 w 21600"/>
              <a:gd name="T13" fmla="*/ 3927 h 21600"/>
              <a:gd name="T14" fmla="*/ 17131 w 21600"/>
              <a:gd name="T15" fmla="*/ 17673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345" name="Group 181">
            <a:extLst>
              <a:ext uri="{FF2B5EF4-FFF2-40B4-BE49-F238E27FC236}">
                <a16:creationId xmlns:a16="http://schemas.microsoft.com/office/drawing/2014/main" id="{00000000-0008-0000-0800-000059010000}"/>
              </a:ext>
            </a:extLst>
          </xdr:cNvPr>
          <xdr:cNvGrpSpPr>
            <a:grpSpLocks/>
          </xdr:cNvGrpSpPr>
        </xdr:nvGrpSpPr>
        <xdr:grpSpPr bwMode="auto">
          <a:xfrm>
            <a:off x="376" y="468"/>
            <a:ext cx="57" cy="44"/>
            <a:chOff x="376" y="468"/>
            <a:chExt cx="57" cy="44"/>
          </a:xfrm>
          <a:grpFill/>
        </xdr:grpSpPr>
        <xdr:sp macro="" textlink="">
          <xdr:nvSpPr>
            <xdr:cNvPr id="346" name="Rectangle 182">
              <a:extLst>
                <a:ext uri="{FF2B5EF4-FFF2-40B4-BE49-F238E27FC236}">
                  <a16:creationId xmlns:a16="http://schemas.microsoft.com/office/drawing/2014/main" id="{00000000-0008-0000-0800-00005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" y="468"/>
              <a:ext cx="34" cy="14"/>
            </a:xfrm>
            <a:prstGeom prst="rect">
              <a:avLst/>
            </a:prstGeom>
            <a:grp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grpSp>
          <xdr:nvGrpSpPr>
            <xdr:cNvPr id="347" name="Group 183">
              <a:extLst>
                <a:ext uri="{FF2B5EF4-FFF2-40B4-BE49-F238E27FC236}">
                  <a16:creationId xmlns:a16="http://schemas.microsoft.com/office/drawing/2014/main" id="{00000000-0008-0000-0800-00005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6" y="468"/>
              <a:ext cx="47" cy="44"/>
              <a:chOff x="270" y="466"/>
              <a:chExt cx="47" cy="44"/>
            </a:xfrm>
            <a:grpFill/>
          </xdr:grpSpPr>
          <xdr:sp macro="" textlink="">
            <xdr:nvSpPr>
              <xdr:cNvPr id="348" name="Oval 184">
                <a:extLst>
                  <a:ext uri="{FF2B5EF4-FFF2-40B4-BE49-F238E27FC236}">
                    <a16:creationId xmlns:a16="http://schemas.microsoft.com/office/drawing/2014/main" id="{00000000-0008-0000-08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0" y="466"/>
                <a:ext cx="47" cy="44"/>
              </a:xfrm>
              <a:prstGeom prst="ellipse">
                <a:avLst/>
              </a:prstGeom>
              <a:grp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9" name="Oval 185">
                <a:extLst>
                  <a:ext uri="{FF2B5EF4-FFF2-40B4-BE49-F238E27FC236}">
                    <a16:creationId xmlns:a16="http://schemas.microsoft.com/office/drawing/2014/main" id="{00000000-0008-0000-08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8" y="483"/>
                <a:ext cx="10" cy="10"/>
              </a:xfrm>
              <a:prstGeom prst="ellipse">
                <a:avLst/>
              </a:prstGeom>
              <a:grp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10</xdr:col>
      <xdr:colOff>266290</xdr:colOff>
      <xdr:row>3</xdr:row>
      <xdr:rowOff>153630</xdr:rowOff>
    </xdr:from>
    <xdr:to>
      <xdr:col>11</xdr:col>
      <xdr:colOff>447265</xdr:colOff>
      <xdr:row>5</xdr:row>
      <xdr:rowOff>25707</xdr:rowOff>
    </xdr:to>
    <xdr:grpSp>
      <xdr:nvGrpSpPr>
        <xdr:cNvPr id="350" name="Group 91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GrpSpPr>
          <a:grpSpLocks/>
        </xdr:cNvGrpSpPr>
      </xdr:nvGrpSpPr>
      <xdr:grpSpPr bwMode="auto">
        <a:xfrm flipH="1">
          <a:off x="5295490" y="725130"/>
          <a:ext cx="790575" cy="253077"/>
          <a:chOff x="982" y="878"/>
          <a:chExt cx="215" cy="70"/>
        </a:xfrm>
      </xdr:grpSpPr>
      <xdr:grpSp>
        <xdr:nvGrpSpPr>
          <xdr:cNvPr id="351" name="Group 92">
            <a:extLst>
              <a:ext uri="{FF2B5EF4-FFF2-40B4-BE49-F238E27FC236}">
                <a16:creationId xmlns:a16="http://schemas.microsoft.com/office/drawing/2014/main" id="{00000000-0008-0000-0800-00005F010000}"/>
              </a:ext>
            </a:extLst>
          </xdr:cNvPr>
          <xdr:cNvGrpSpPr>
            <a:grpSpLocks/>
          </xdr:cNvGrpSpPr>
        </xdr:nvGrpSpPr>
        <xdr:grpSpPr bwMode="auto">
          <a:xfrm>
            <a:off x="982" y="878"/>
            <a:ext cx="186" cy="70"/>
            <a:chOff x="1035" y="1155"/>
            <a:chExt cx="186" cy="70"/>
          </a:xfrm>
        </xdr:grpSpPr>
        <xdr:grpSp>
          <xdr:nvGrpSpPr>
            <xdr:cNvPr id="353" name="Group 93">
              <a:extLst>
                <a:ext uri="{FF2B5EF4-FFF2-40B4-BE49-F238E27FC236}">
                  <a16:creationId xmlns:a16="http://schemas.microsoft.com/office/drawing/2014/main" id="{00000000-0008-0000-0800-00006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9" y="1155"/>
              <a:ext cx="179" cy="8"/>
              <a:chOff x="1039" y="1155"/>
              <a:chExt cx="179" cy="8"/>
            </a:xfrm>
          </xdr:grpSpPr>
          <xdr:grpSp>
            <xdr:nvGrpSpPr>
              <xdr:cNvPr id="369" name="Group 94">
                <a:extLst>
                  <a:ext uri="{FF2B5EF4-FFF2-40B4-BE49-F238E27FC236}">
                    <a16:creationId xmlns:a16="http://schemas.microsoft.com/office/drawing/2014/main" id="{00000000-0008-0000-0800-00007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1" y="1156"/>
                <a:ext cx="47" cy="7"/>
                <a:chOff x="962" y="700"/>
                <a:chExt cx="47" cy="7"/>
              </a:xfrm>
            </xdr:grpSpPr>
            <xdr:grpSp>
              <xdr:nvGrpSpPr>
                <xdr:cNvPr id="401" name="Group 95">
                  <a:extLst>
                    <a:ext uri="{FF2B5EF4-FFF2-40B4-BE49-F238E27FC236}">
                      <a16:creationId xmlns:a16="http://schemas.microsoft.com/office/drawing/2014/main" id="{00000000-0008-0000-0800-00009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11" name="Line 96">
                    <a:extLst>
                      <a:ext uri="{FF2B5EF4-FFF2-40B4-BE49-F238E27FC236}">
                        <a16:creationId xmlns:a16="http://schemas.microsoft.com/office/drawing/2014/main" id="{00000000-0008-0000-0800-00009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12" name="Line 97">
                    <a:extLst>
                      <a:ext uri="{FF2B5EF4-FFF2-40B4-BE49-F238E27FC236}">
                        <a16:creationId xmlns:a16="http://schemas.microsoft.com/office/drawing/2014/main" id="{00000000-0008-0000-0800-00009C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02" name="Group 98">
                  <a:extLst>
                    <a:ext uri="{FF2B5EF4-FFF2-40B4-BE49-F238E27FC236}">
                      <a16:creationId xmlns:a16="http://schemas.microsoft.com/office/drawing/2014/main" id="{00000000-0008-0000-0800-00009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09" name="Line 99">
                    <a:extLst>
                      <a:ext uri="{FF2B5EF4-FFF2-40B4-BE49-F238E27FC236}">
                        <a16:creationId xmlns:a16="http://schemas.microsoft.com/office/drawing/2014/main" id="{00000000-0008-0000-0800-00009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10" name="Line 100">
                    <a:extLst>
                      <a:ext uri="{FF2B5EF4-FFF2-40B4-BE49-F238E27FC236}">
                        <a16:creationId xmlns:a16="http://schemas.microsoft.com/office/drawing/2014/main" id="{00000000-0008-0000-0800-00009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03" name="Group 101">
                  <a:extLst>
                    <a:ext uri="{FF2B5EF4-FFF2-40B4-BE49-F238E27FC236}">
                      <a16:creationId xmlns:a16="http://schemas.microsoft.com/office/drawing/2014/main" id="{00000000-0008-0000-0800-000093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07" name="Line 102">
                    <a:extLst>
                      <a:ext uri="{FF2B5EF4-FFF2-40B4-BE49-F238E27FC236}">
                        <a16:creationId xmlns:a16="http://schemas.microsoft.com/office/drawing/2014/main" id="{00000000-0008-0000-0800-00009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08" name="Line 103">
                    <a:extLst>
                      <a:ext uri="{FF2B5EF4-FFF2-40B4-BE49-F238E27FC236}">
                        <a16:creationId xmlns:a16="http://schemas.microsoft.com/office/drawing/2014/main" id="{00000000-0008-0000-0800-000098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404" name="Group 104">
                  <a:extLst>
                    <a:ext uri="{FF2B5EF4-FFF2-40B4-BE49-F238E27FC236}">
                      <a16:creationId xmlns:a16="http://schemas.microsoft.com/office/drawing/2014/main" id="{00000000-0008-0000-0800-000094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405" name="Line 105">
                    <a:extLst>
                      <a:ext uri="{FF2B5EF4-FFF2-40B4-BE49-F238E27FC236}">
                        <a16:creationId xmlns:a16="http://schemas.microsoft.com/office/drawing/2014/main" id="{00000000-0008-0000-0800-00009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06" name="Line 106">
                    <a:extLst>
                      <a:ext uri="{FF2B5EF4-FFF2-40B4-BE49-F238E27FC236}">
                        <a16:creationId xmlns:a16="http://schemas.microsoft.com/office/drawing/2014/main" id="{00000000-0008-0000-0800-00009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370" name="Group 369">
                <a:extLst>
                  <a:ext uri="{FF2B5EF4-FFF2-40B4-BE49-F238E27FC236}">
                    <a16:creationId xmlns:a16="http://schemas.microsoft.com/office/drawing/2014/main" id="{00000000-0008-0000-0800-00007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22" y="1156"/>
                <a:ext cx="47" cy="7"/>
                <a:chOff x="962" y="700"/>
                <a:chExt cx="47" cy="7"/>
              </a:xfrm>
            </xdr:grpSpPr>
            <xdr:grpSp>
              <xdr:nvGrpSpPr>
                <xdr:cNvPr id="389" name="Group 108">
                  <a:extLst>
                    <a:ext uri="{FF2B5EF4-FFF2-40B4-BE49-F238E27FC236}">
                      <a16:creationId xmlns:a16="http://schemas.microsoft.com/office/drawing/2014/main" id="{00000000-0008-0000-0800-000085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2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99" name="Line 109">
                    <a:extLst>
                      <a:ext uri="{FF2B5EF4-FFF2-40B4-BE49-F238E27FC236}">
                        <a16:creationId xmlns:a16="http://schemas.microsoft.com/office/drawing/2014/main" id="{00000000-0008-0000-0800-00008F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400" name="Line 110">
                    <a:extLst>
                      <a:ext uri="{FF2B5EF4-FFF2-40B4-BE49-F238E27FC236}">
                        <a16:creationId xmlns:a16="http://schemas.microsoft.com/office/drawing/2014/main" id="{00000000-0008-0000-0800-000090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90" name="Group 111">
                  <a:extLst>
                    <a:ext uri="{FF2B5EF4-FFF2-40B4-BE49-F238E27FC236}">
                      <a16:creationId xmlns:a16="http://schemas.microsoft.com/office/drawing/2014/main" id="{00000000-0008-0000-0800-000086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74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97" name="Line 112">
                    <a:extLst>
                      <a:ext uri="{FF2B5EF4-FFF2-40B4-BE49-F238E27FC236}">
                        <a16:creationId xmlns:a16="http://schemas.microsoft.com/office/drawing/2014/main" id="{00000000-0008-0000-0800-00008D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98" name="Line 113">
                    <a:extLst>
                      <a:ext uri="{FF2B5EF4-FFF2-40B4-BE49-F238E27FC236}">
                        <a16:creationId xmlns:a16="http://schemas.microsoft.com/office/drawing/2014/main" id="{00000000-0008-0000-0800-00008E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91" name="Group 114">
                  <a:extLst>
                    <a:ext uri="{FF2B5EF4-FFF2-40B4-BE49-F238E27FC236}">
                      <a16:creationId xmlns:a16="http://schemas.microsoft.com/office/drawing/2014/main" id="{00000000-0008-0000-0800-000087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86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95" name="Line 115">
                    <a:extLst>
                      <a:ext uri="{FF2B5EF4-FFF2-40B4-BE49-F238E27FC236}">
                        <a16:creationId xmlns:a16="http://schemas.microsoft.com/office/drawing/2014/main" id="{00000000-0008-0000-0800-00008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96" name="Line 116">
                    <a:extLst>
                      <a:ext uri="{FF2B5EF4-FFF2-40B4-BE49-F238E27FC236}">
                        <a16:creationId xmlns:a16="http://schemas.microsoft.com/office/drawing/2014/main" id="{00000000-0008-0000-0800-00008C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92" name="Group 117">
                  <a:extLst>
                    <a:ext uri="{FF2B5EF4-FFF2-40B4-BE49-F238E27FC236}">
                      <a16:creationId xmlns:a16="http://schemas.microsoft.com/office/drawing/2014/main" id="{00000000-0008-0000-0800-00008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8" y="700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93" name="Line 118">
                    <a:extLst>
                      <a:ext uri="{FF2B5EF4-FFF2-40B4-BE49-F238E27FC236}">
                        <a16:creationId xmlns:a16="http://schemas.microsoft.com/office/drawing/2014/main" id="{00000000-0008-0000-0800-00008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94" name="Line 119">
                    <a:extLst>
                      <a:ext uri="{FF2B5EF4-FFF2-40B4-BE49-F238E27FC236}">
                        <a16:creationId xmlns:a16="http://schemas.microsoft.com/office/drawing/2014/main" id="{00000000-0008-0000-0800-00008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371" name="Group 120">
                <a:extLst>
                  <a:ext uri="{FF2B5EF4-FFF2-40B4-BE49-F238E27FC236}">
                    <a16:creationId xmlns:a16="http://schemas.microsoft.com/office/drawing/2014/main" id="{00000000-0008-0000-0800-00007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39" y="1155"/>
                <a:ext cx="66" cy="7"/>
                <a:chOff x="1039" y="1155"/>
                <a:chExt cx="66" cy="7"/>
              </a:xfrm>
            </xdr:grpSpPr>
            <xdr:grpSp>
              <xdr:nvGrpSpPr>
                <xdr:cNvPr id="373" name="Group 121">
                  <a:extLst>
                    <a:ext uri="{FF2B5EF4-FFF2-40B4-BE49-F238E27FC236}">
                      <a16:creationId xmlns:a16="http://schemas.microsoft.com/office/drawing/2014/main" id="{00000000-0008-0000-0800-000075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9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87" name="Line 122">
                    <a:extLst>
                      <a:ext uri="{FF2B5EF4-FFF2-40B4-BE49-F238E27FC236}">
                        <a16:creationId xmlns:a16="http://schemas.microsoft.com/office/drawing/2014/main" id="{00000000-0008-0000-0800-000083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88" name="Line 123">
                    <a:extLst>
                      <a:ext uri="{FF2B5EF4-FFF2-40B4-BE49-F238E27FC236}">
                        <a16:creationId xmlns:a16="http://schemas.microsoft.com/office/drawing/2014/main" id="{00000000-0008-0000-0800-000084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74" name="Group 124">
                  <a:extLst>
                    <a:ext uri="{FF2B5EF4-FFF2-40B4-BE49-F238E27FC236}">
                      <a16:creationId xmlns:a16="http://schemas.microsoft.com/office/drawing/2014/main" id="{00000000-0008-0000-0800-000076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51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85" name="Line 125">
                    <a:extLst>
                      <a:ext uri="{FF2B5EF4-FFF2-40B4-BE49-F238E27FC236}">
                        <a16:creationId xmlns:a16="http://schemas.microsoft.com/office/drawing/2014/main" id="{00000000-0008-0000-0800-000081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86" name="Line 126">
                    <a:extLst>
                      <a:ext uri="{FF2B5EF4-FFF2-40B4-BE49-F238E27FC236}">
                        <a16:creationId xmlns:a16="http://schemas.microsoft.com/office/drawing/2014/main" id="{00000000-0008-0000-0800-000082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75" name="Group 127">
                  <a:extLst>
                    <a:ext uri="{FF2B5EF4-FFF2-40B4-BE49-F238E27FC236}">
                      <a16:creationId xmlns:a16="http://schemas.microsoft.com/office/drawing/2014/main" id="{00000000-0008-0000-0800-000077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63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83" name="Line 128">
                    <a:extLst>
                      <a:ext uri="{FF2B5EF4-FFF2-40B4-BE49-F238E27FC236}">
                        <a16:creationId xmlns:a16="http://schemas.microsoft.com/office/drawing/2014/main" id="{00000000-0008-0000-0800-00007F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84" name="Line 129">
                    <a:extLst>
                      <a:ext uri="{FF2B5EF4-FFF2-40B4-BE49-F238E27FC236}">
                        <a16:creationId xmlns:a16="http://schemas.microsoft.com/office/drawing/2014/main" id="{00000000-0008-0000-0800-000080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76" name="Group 130">
                  <a:extLst>
                    <a:ext uri="{FF2B5EF4-FFF2-40B4-BE49-F238E27FC236}">
                      <a16:creationId xmlns:a16="http://schemas.microsoft.com/office/drawing/2014/main" id="{00000000-0008-0000-0800-00007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75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81" name="Line 131">
                    <a:extLst>
                      <a:ext uri="{FF2B5EF4-FFF2-40B4-BE49-F238E27FC236}">
                        <a16:creationId xmlns:a16="http://schemas.microsoft.com/office/drawing/2014/main" id="{00000000-0008-0000-0800-00007D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82" name="Line 132">
                    <a:extLst>
                      <a:ext uri="{FF2B5EF4-FFF2-40B4-BE49-F238E27FC236}">
                        <a16:creationId xmlns:a16="http://schemas.microsoft.com/office/drawing/2014/main" id="{00000000-0008-0000-0800-00007E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grpSp>
              <xdr:nvGrpSpPr>
                <xdr:cNvPr id="377" name="Group 133">
                  <a:extLst>
                    <a:ext uri="{FF2B5EF4-FFF2-40B4-BE49-F238E27FC236}">
                      <a16:creationId xmlns:a16="http://schemas.microsoft.com/office/drawing/2014/main" id="{00000000-0008-0000-0800-00007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86" y="1155"/>
                  <a:ext cx="11" cy="7"/>
                  <a:chOff x="991" y="691"/>
                  <a:chExt cx="11" cy="7"/>
                </a:xfrm>
              </xdr:grpSpPr>
              <xdr:sp macro="" textlink="">
                <xdr:nvSpPr>
                  <xdr:cNvPr id="379" name="Line 134">
                    <a:extLst>
                      <a:ext uri="{FF2B5EF4-FFF2-40B4-BE49-F238E27FC236}">
                        <a16:creationId xmlns:a16="http://schemas.microsoft.com/office/drawing/2014/main" id="{00000000-0008-0000-0800-00007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1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380" name="Line 135">
                    <a:extLst>
                      <a:ext uri="{FF2B5EF4-FFF2-40B4-BE49-F238E27FC236}">
                        <a16:creationId xmlns:a16="http://schemas.microsoft.com/office/drawing/2014/main" id="{00000000-0008-0000-0800-00007C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997" y="691"/>
                    <a:ext cx="5" cy="7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378" name="Line 136">
                  <a:extLst>
                    <a:ext uri="{FF2B5EF4-FFF2-40B4-BE49-F238E27FC236}">
                      <a16:creationId xmlns:a16="http://schemas.microsoft.com/office/drawing/2014/main" id="{00000000-0008-0000-0800-00007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97" y="1162"/>
                  <a:ext cx="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372" name="Line 137">
                <a:extLst>
                  <a:ext uri="{FF2B5EF4-FFF2-40B4-BE49-F238E27FC236}">
                    <a16:creationId xmlns:a16="http://schemas.microsoft.com/office/drawing/2014/main" id="{00000000-0008-0000-0800-000074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15" y="1156"/>
                <a:ext cx="4" cy="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54" name="Group 138">
              <a:extLst>
                <a:ext uri="{FF2B5EF4-FFF2-40B4-BE49-F238E27FC236}">
                  <a16:creationId xmlns:a16="http://schemas.microsoft.com/office/drawing/2014/main" id="{00000000-0008-0000-08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5" y="1166"/>
              <a:ext cx="186" cy="59"/>
              <a:chOff x="1035" y="1166"/>
              <a:chExt cx="186" cy="59"/>
            </a:xfrm>
          </xdr:grpSpPr>
          <xdr:sp macro="" textlink="">
            <xdr:nvSpPr>
              <xdr:cNvPr id="355" name="Rectangle 139">
                <a:extLst>
                  <a:ext uri="{FF2B5EF4-FFF2-40B4-BE49-F238E27FC236}">
                    <a16:creationId xmlns:a16="http://schemas.microsoft.com/office/drawing/2014/main" id="{00000000-0008-0000-0800-00006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" y="1166"/>
                <a:ext cx="186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356" name="Group 140">
                <a:extLst>
                  <a:ext uri="{FF2B5EF4-FFF2-40B4-BE49-F238E27FC236}">
                    <a16:creationId xmlns:a16="http://schemas.microsoft.com/office/drawing/2014/main" id="{00000000-0008-0000-0800-00006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81" y="1189"/>
                <a:ext cx="98" cy="36"/>
                <a:chOff x="992" y="763"/>
                <a:chExt cx="98" cy="59"/>
              </a:xfrm>
            </xdr:grpSpPr>
            <xdr:sp macro="" textlink="">
              <xdr:nvSpPr>
                <xdr:cNvPr id="357" name="Oval 141">
                  <a:extLst>
                    <a:ext uri="{FF2B5EF4-FFF2-40B4-BE49-F238E27FC236}">
                      <a16:creationId xmlns:a16="http://schemas.microsoft.com/office/drawing/2014/main" id="{00000000-0008-0000-0800-000065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34" y="810"/>
                  <a:ext cx="14" cy="12"/>
                </a:xfrm>
                <a:prstGeom prst="ellipse">
                  <a:avLst/>
                </a:prstGeom>
                <a:gradFill rotWithShape="0">
                  <a:gsLst>
                    <a:gs pos="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  <a:gs pos="50000">
                      <a:srgbClr xmlns:mc="http://schemas.openxmlformats.org/markup-compatibility/2006" xmlns:a14="http://schemas.microsoft.com/office/drawing/2010/main" val="FFFFFF" mc:Ignorable="a14" a14:legacySpreadsheetColorIndex="9"/>
                    </a:gs>
                    <a:gs pos="100000">
                      <a:srgbClr xmlns:mc="http://schemas.openxmlformats.org/markup-compatibility/2006" xmlns:a14="http://schemas.microsoft.com/office/drawing/2010/main" val="767676" mc:Ignorable="a14" a14:legacySpreadsheetColorIndex="9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358" name="Group 142">
                  <a:extLst>
                    <a:ext uri="{FF2B5EF4-FFF2-40B4-BE49-F238E27FC236}">
                      <a16:creationId xmlns:a16="http://schemas.microsoft.com/office/drawing/2014/main" id="{00000000-0008-0000-0800-000066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92" y="763"/>
                  <a:ext cx="98" cy="27"/>
                  <a:chOff x="1210" y="756"/>
                  <a:chExt cx="124" cy="27"/>
                </a:xfrm>
              </xdr:grpSpPr>
              <xdr:grpSp>
                <xdr:nvGrpSpPr>
                  <xdr:cNvPr id="363" name="Group 143">
                    <a:extLst>
                      <a:ext uri="{FF2B5EF4-FFF2-40B4-BE49-F238E27FC236}">
                        <a16:creationId xmlns:a16="http://schemas.microsoft.com/office/drawing/2014/main" id="{00000000-0008-0000-0800-00006B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10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367" name="Oval 144">
                      <a:extLst>
                        <a:ext uri="{FF2B5EF4-FFF2-40B4-BE49-F238E27FC236}">
                          <a16:creationId xmlns:a16="http://schemas.microsoft.com/office/drawing/2014/main" id="{00000000-0008-0000-0800-00006F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368" name="AutoShape 145">
                      <a:extLst>
                        <a:ext uri="{FF2B5EF4-FFF2-40B4-BE49-F238E27FC236}">
                          <a16:creationId xmlns:a16="http://schemas.microsoft.com/office/drawing/2014/main" id="{00000000-0008-0000-0800-000070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364" name="Group 146">
                    <a:extLst>
                      <a:ext uri="{FF2B5EF4-FFF2-40B4-BE49-F238E27FC236}">
                        <a16:creationId xmlns:a16="http://schemas.microsoft.com/office/drawing/2014/main" id="{00000000-0008-0000-0800-00006C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 flipH="1">
                    <a:off x="1271" y="756"/>
                    <a:ext cx="63" cy="27"/>
                    <a:chOff x="1210" y="756"/>
                    <a:chExt cx="63" cy="27"/>
                  </a:xfrm>
                </xdr:grpSpPr>
                <xdr:sp macro="" textlink="">
                  <xdr:nvSpPr>
                    <xdr:cNvPr id="365" name="Oval 147">
                      <a:extLst>
                        <a:ext uri="{FF2B5EF4-FFF2-40B4-BE49-F238E27FC236}">
                          <a16:creationId xmlns:a16="http://schemas.microsoft.com/office/drawing/2014/main" id="{00000000-0008-0000-0800-00006D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210" y="756"/>
                      <a:ext cx="18" cy="26"/>
                    </a:xfrm>
                    <a:prstGeom prst="ellipse">
                      <a:avLst/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366" name="AutoShape 148">
                      <a:extLst>
                        <a:ext uri="{FF2B5EF4-FFF2-40B4-BE49-F238E27FC236}">
                          <a16:creationId xmlns:a16="http://schemas.microsoft.com/office/drawing/2014/main" id="{00000000-0008-0000-0800-00006E01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67105">
                      <a:off x="1234" y="743"/>
                      <a:ext cx="26" cy="53"/>
                    </a:xfrm>
                    <a:prstGeom prst="triangle">
                      <a:avLst>
                        <a:gd name="adj" fmla="val 50000"/>
                      </a:avLst>
                    </a:prstGeom>
                    <a:gradFill rotWithShape="0">
                      <a:gsLst>
                        <a:gs pos="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  <a:gs pos="50000">
                          <a:srgbClr xmlns:mc="http://schemas.openxmlformats.org/markup-compatibility/2006" xmlns:a14="http://schemas.microsoft.com/office/drawing/2010/main" val="FFFFFF" mc:Ignorable="a14" a14:legacySpreadsheetColorIndex="9"/>
                        </a:gs>
                        <a:gs pos="100000">
                          <a:srgbClr xmlns:mc="http://schemas.openxmlformats.org/markup-compatibility/2006" xmlns:a14="http://schemas.microsoft.com/office/drawing/2010/main" val="767676" mc:Ignorable="a14" a14:legacySpreadsheetColorIndex="9">
                            <a:gamma/>
                            <a:shade val="46275"/>
                            <a:invGamma/>
                          </a:srgbClr>
                        </a:gs>
                      </a:gsLst>
                      <a:lin ang="5400000" scaled="1"/>
                    </a:gra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</xdr:grpSp>
            <xdr:sp macro="" textlink="">
              <xdr:nvSpPr>
                <xdr:cNvPr id="359" name="Line 149">
                  <a:extLst>
                    <a:ext uri="{FF2B5EF4-FFF2-40B4-BE49-F238E27FC236}">
                      <a16:creationId xmlns:a16="http://schemas.microsoft.com/office/drawing/2014/main" id="{00000000-0008-0000-0800-00006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777"/>
                  <a:ext cx="0" cy="7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360" name="Group 150">
                  <a:extLst>
                    <a:ext uri="{FF2B5EF4-FFF2-40B4-BE49-F238E27FC236}">
                      <a16:creationId xmlns:a16="http://schemas.microsoft.com/office/drawing/2014/main" id="{00000000-0008-0000-0800-00006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35" y="784"/>
                  <a:ext cx="12" cy="31"/>
                  <a:chOff x="1039" y="785"/>
                  <a:chExt cx="12" cy="31"/>
                </a:xfrm>
              </xdr:grpSpPr>
              <xdr:sp macro="" textlink="">
                <xdr:nvSpPr>
                  <xdr:cNvPr id="361" name="Oval 151">
                    <a:extLst>
                      <a:ext uri="{FF2B5EF4-FFF2-40B4-BE49-F238E27FC236}">
                        <a16:creationId xmlns:a16="http://schemas.microsoft.com/office/drawing/2014/main" id="{00000000-0008-0000-0800-000069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85"/>
                    <a:ext cx="12" cy="8"/>
                  </a:xfrm>
                  <a:prstGeom prst="ellipse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362" name="Rectangle 152">
                    <a:extLst>
                      <a:ext uri="{FF2B5EF4-FFF2-40B4-BE49-F238E27FC236}">
                        <a16:creationId xmlns:a16="http://schemas.microsoft.com/office/drawing/2014/main" id="{00000000-0008-0000-0800-00006A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39" y="790"/>
                    <a:ext cx="12" cy="26"/>
                  </a:xfrm>
                  <a:prstGeom prst="rect">
                    <a:avLst/>
                  </a:prstGeom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  <a:gs pos="50000">
                        <a:srgbClr xmlns:mc="http://schemas.openxmlformats.org/markup-compatibility/2006" xmlns:a14="http://schemas.microsoft.com/office/drawing/2010/main" val="FFFFFF" mc:Ignorable="a14" a14:legacySpreadsheetColorIndex="9"/>
                      </a:gs>
                      <a:gs pos="100000">
                        <a:srgbClr xmlns:mc="http://schemas.openxmlformats.org/markup-compatibility/2006" xmlns:a14="http://schemas.microsoft.com/office/drawing/2010/main" val="767676" mc:Ignorable="a14" a14:legacySpreadsheetColorIndex="9">
                          <a:gamma/>
                          <a:shade val="46275"/>
                          <a:invGamma/>
                        </a:srgbClr>
                      </a:gs>
                    </a:gsLst>
                    <a:lin ang="5400000" scaled="1"/>
                  </a:gra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</xdr:sp>
            </xdr:grpSp>
          </xdr:grpSp>
        </xdr:grpSp>
      </xdr:grpSp>
      <xdr:sp macro="" textlink="">
        <xdr:nvSpPr>
          <xdr:cNvPr id="352" name="Rectangle 153">
            <a:extLst>
              <a:ext uri="{FF2B5EF4-FFF2-40B4-BE49-F238E27FC236}">
                <a16:creationId xmlns:a16="http://schemas.microsoft.com/office/drawing/2014/main" id="{00000000-0008-0000-0800-000060010000}"/>
              </a:ext>
            </a:extLst>
          </xdr:cNvPr>
          <xdr:cNvSpPr>
            <a:spLocks noChangeArrowheads="1"/>
          </xdr:cNvSpPr>
        </xdr:nvSpPr>
        <xdr:spPr bwMode="auto">
          <a:xfrm>
            <a:off x="1168" y="893"/>
            <a:ext cx="29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44784</xdr:colOff>
      <xdr:row>4</xdr:row>
      <xdr:rowOff>35549</xdr:rowOff>
    </xdr:from>
    <xdr:to>
      <xdr:col>10</xdr:col>
      <xdr:colOff>266290</xdr:colOff>
      <xdr:row>6</xdr:row>
      <xdr:rowOff>194595</xdr:rowOff>
    </xdr:to>
    <xdr:cxnSp macro="">
      <xdr:nvCxnSpPr>
        <xdr:cNvPr id="413" name="Elbow Connector 412">
          <a:extLst>
            <a:ext uri="{FF2B5EF4-FFF2-40B4-BE49-F238E27FC236}">
              <a16:creationId xmlns:a16="http://schemas.microsoft.com/office/drawing/2014/main" id="{00000000-0008-0000-0800-00009D010000}"/>
            </a:ext>
          </a:extLst>
        </xdr:cNvPr>
        <xdr:cNvCxnSpPr>
          <a:stCxn id="242" idx="0"/>
          <a:endCxn id="352" idx="3"/>
        </xdr:cNvCxnSpPr>
      </xdr:nvCxnSpPr>
      <xdr:spPr>
        <a:xfrm rot="5400000" flipH="1" flipV="1">
          <a:off x="4914714" y="956819"/>
          <a:ext cx="540046" cy="221506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447265</xdr:colOff>
      <xdr:row>4</xdr:row>
      <xdr:rowOff>31816</xdr:rowOff>
    </xdr:from>
    <xdr:to>
      <xdr:col>11</xdr:col>
      <xdr:colOff>608196</xdr:colOff>
      <xdr:row>6</xdr:row>
      <xdr:rowOff>102419</xdr:rowOff>
    </xdr:to>
    <xdr:cxnSp macro="">
      <xdr:nvCxnSpPr>
        <xdr:cNvPr id="414" name="Elbow Connector 413">
          <a:extLst>
            <a:ext uri="{FF2B5EF4-FFF2-40B4-BE49-F238E27FC236}">
              <a16:creationId xmlns:a16="http://schemas.microsoft.com/office/drawing/2014/main" id="{00000000-0008-0000-0800-00009E010000}"/>
            </a:ext>
          </a:extLst>
        </xdr:cNvPr>
        <xdr:cNvCxnSpPr>
          <a:stCxn id="355" idx="1"/>
          <a:endCxn id="342" idx="0"/>
        </xdr:cNvCxnSpPr>
      </xdr:nvCxnSpPr>
      <xdr:spPr>
        <a:xfrm>
          <a:off x="6086065" y="793816"/>
          <a:ext cx="160931" cy="451603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493102</xdr:colOff>
      <xdr:row>7</xdr:row>
      <xdr:rowOff>111330</xdr:rowOff>
    </xdr:from>
    <xdr:to>
      <xdr:col>11</xdr:col>
      <xdr:colOff>608197</xdr:colOff>
      <xdr:row>10</xdr:row>
      <xdr:rowOff>51132</xdr:rowOff>
    </xdr:to>
    <xdr:cxnSp macro="">
      <xdr:nvCxnSpPr>
        <xdr:cNvPr id="415" name="Elbow Connector 414">
          <a:extLst>
            <a:ext uri="{FF2B5EF4-FFF2-40B4-BE49-F238E27FC236}">
              <a16:creationId xmlns:a16="http://schemas.microsoft.com/office/drawing/2014/main" id="{00000000-0008-0000-0800-00009F010000}"/>
            </a:ext>
          </a:extLst>
        </xdr:cNvPr>
        <xdr:cNvCxnSpPr>
          <a:stCxn id="342" idx="2"/>
          <a:endCxn id="348" idx="2"/>
        </xdr:cNvCxnSpPr>
      </xdr:nvCxnSpPr>
      <xdr:spPr>
        <a:xfrm rot="5400000">
          <a:off x="5933799" y="1642933"/>
          <a:ext cx="511302" cy="115095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133144</xdr:colOff>
      <xdr:row>7</xdr:row>
      <xdr:rowOff>122905</xdr:rowOff>
    </xdr:from>
    <xdr:to>
      <xdr:col>11</xdr:col>
      <xdr:colOff>276532</xdr:colOff>
      <xdr:row>9</xdr:row>
      <xdr:rowOff>182933</xdr:rowOff>
    </xdr:to>
    <xdr:cxnSp macro="">
      <xdr:nvCxnSpPr>
        <xdr:cNvPr id="416" name="Elbow Connector 415">
          <a:extLst>
            <a:ext uri="{FF2B5EF4-FFF2-40B4-BE49-F238E27FC236}">
              <a16:creationId xmlns:a16="http://schemas.microsoft.com/office/drawing/2014/main" id="{00000000-0008-0000-0800-0000A0010000}"/>
            </a:ext>
          </a:extLst>
        </xdr:cNvPr>
        <xdr:cNvCxnSpPr>
          <a:stCxn id="346" idx="3"/>
        </xdr:cNvCxnSpPr>
      </xdr:nvCxnSpPr>
      <xdr:spPr>
        <a:xfrm rot="10800000">
          <a:off x="5162344" y="1456405"/>
          <a:ext cx="752988" cy="441028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155649</xdr:colOff>
      <xdr:row>4</xdr:row>
      <xdr:rowOff>1</xdr:rowOff>
    </xdr:from>
    <xdr:to>
      <xdr:col>12</xdr:col>
      <xdr:colOff>163871</xdr:colOff>
      <xdr:row>6</xdr:row>
      <xdr:rowOff>102419</xdr:rowOff>
    </xdr:to>
    <xdr:cxnSp macro="">
      <xdr:nvCxnSpPr>
        <xdr:cNvPr id="417" name="Elbow Connector 416">
          <a:extLst>
            <a:ext uri="{FF2B5EF4-FFF2-40B4-BE49-F238E27FC236}">
              <a16:creationId xmlns:a16="http://schemas.microsoft.com/office/drawing/2014/main" id="{00000000-0008-0000-0800-0000A1010000}"/>
            </a:ext>
          </a:extLst>
        </xdr:cNvPr>
        <xdr:cNvCxnSpPr>
          <a:stCxn id="340" idx="0"/>
        </xdr:cNvCxnSpPr>
      </xdr:nvCxnSpPr>
      <xdr:spPr>
        <a:xfrm rot="5400000" flipH="1" flipV="1">
          <a:off x="6166451" y="999599"/>
          <a:ext cx="483418" cy="8222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194597</xdr:colOff>
      <xdr:row>13</xdr:row>
      <xdr:rowOff>51209</xdr:rowOff>
    </xdr:from>
    <xdr:to>
      <xdr:col>11</xdr:col>
      <xdr:colOff>126507</xdr:colOff>
      <xdr:row>14</xdr:row>
      <xdr:rowOff>71693</xdr:rowOff>
    </xdr:to>
    <xdr:cxnSp macro="">
      <xdr:nvCxnSpPr>
        <xdr:cNvPr id="418" name="Elbow Connector 417">
          <a:extLst>
            <a:ext uri="{FF2B5EF4-FFF2-40B4-BE49-F238E27FC236}">
              <a16:creationId xmlns:a16="http://schemas.microsoft.com/office/drawing/2014/main" id="{00000000-0008-0000-0800-0000A2010000}"/>
            </a:ext>
          </a:extLst>
        </xdr:cNvPr>
        <xdr:cNvCxnSpPr>
          <a:stCxn id="335" idx="0"/>
        </xdr:cNvCxnSpPr>
      </xdr:nvCxnSpPr>
      <xdr:spPr>
        <a:xfrm rot="16200000" flipH="1" flipV="1">
          <a:off x="5389060" y="2362446"/>
          <a:ext cx="210984" cy="541510"/>
        </a:xfrm>
        <a:prstGeom prst="bentConnector4">
          <a:avLst>
            <a:gd name="adj1" fmla="val -106286"/>
            <a:gd name="adj2" fmla="val 72004"/>
          </a:avLst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195015</xdr:colOff>
      <xdr:row>14</xdr:row>
      <xdr:rowOff>76221</xdr:rowOff>
    </xdr:from>
    <xdr:to>
      <xdr:col>11</xdr:col>
      <xdr:colOff>126507</xdr:colOff>
      <xdr:row>15</xdr:row>
      <xdr:rowOff>28049</xdr:rowOff>
    </xdr:to>
    <xdr:cxnSp macro="">
      <xdr:nvCxnSpPr>
        <xdr:cNvPr id="419" name="Elbow Connector 418">
          <a:extLst>
            <a:ext uri="{FF2B5EF4-FFF2-40B4-BE49-F238E27FC236}">
              <a16:creationId xmlns:a16="http://schemas.microsoft.com/office/drawing/2014/main" id="{00000000-0008-0000-0800-0000A3010000}"/>
            </a:ext>
          </a:extLst>
        </xdr:cNvPr>
        <xdr:cNvCxnSpPr>
          <a:stCxn id="243" idx="3"/>
          <a:endCxn id="335" idx="2"/>
        </xdr:cNvCxnSpPr>
      </xdr:nvCxnSpPr>
      <xdr:spPr>
        <a:xfrm flipV="1">
          <a:off x="5224215" y="2743221"/>
          <a:ext cx="541092" cy="142328"/>
        </a:xfrm>
        <a:prstGeom prst="bentConnector2">
          <a:avLst/>
        </a:prstGeom>
        <a:ln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12</xdr:col>
      <xdr:colOff>571735</xdr:colOff>
      <xdr:row>34</xdr:row>
      <xdr:rowOff>23812</xdr:rowOff>
    </xdr:to>
    <xdr:pic>
      <xdr:nvPicPr>
        <xdr:cNvPr id="2" name="907C1A2D-A466-4F59-9B96-D4FBD3F1D018" descr="cid:907C1A2D-A466-4F59-9B96-D4FBD3F1D01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7505935" cy="650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26</xdr:row>
      <xdr:rowOff>99060</xdr:rowOff>
    </xdr:from>
    <xdr:to>
      <xdr:col>9</xdr:col>
      <xdr:colOff>396240</xdr:colOff>
      <xdr:row>35</xdr:row>
      <xdr:rowOff>76200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194935" y="5052060"/>
          <a:ext cx="1173480" cy="1691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487680</xdr:colOff>
      <xdr:row>30</xdr:row>
      <xdr:rowOff>175260</xdr:rowOff>
    </xdr:from>
    <xdr:to>
      <xdr:col>7</xdr:col>
      <xdr:colOff>441960</xdr:colOff>
      <xdr:row>30</xdr:row>
      <xdr:rowOff>179070</xdr:rowOff>
    </xdr:to>
    <xdr:cxnSp macro="">
      <xdr:nvCxnSpPr>
        <xdr:cNvPr id="3" name="Straight Arrow Connector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>
          <a:endCxn id="2" idx="1"/>
        </xdr:cNvCxnSpPr>
      </xdr:nvCxnSpPr>
      <xdr:spPr>
        <a:xfrm>
          <a:off x="4059555" y="5890260"/>
          <a:ext cx="1135380" cy="381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24</xdr:row>
      <xdr:rowOff>45720</xdr:rowOff>
    </xdr:from>
    <xdr:to>
      <xdr:col>11</xdr:col>
      <xdr:colOff>137160</xdr:colOff>
      <xdr:row>26</xdr:row>
      <xdr:rowOff>99060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>
          <a:stCxn id="2" idx="0"/>
        </xdr:cNvCxnSpPr>
      </xdr:nvCxnSpPr>
      <xdr:spPr>
        <a:xfrm rot="5400000" flipH="1" flipV="1">
          <a:off x="6318885" y="4080510"/>
          <a:ext cx="434340" cy="1508760"/>
        </a:xfrm>
        <a:prstGeom prst="bentConnector2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35</xdr:row>
      <xdr:rowOff>76200</xdr:rowOff>
    </xdr:from>
    <xdr:to>
      <xdr:col>11</xdr:col>
      <xdr:colOff>129540</xdr:colOff>
      <xdr:row>38</xdr:row>
      <xdr:rowOff>53340</xdr:rowOff>
    </xdr:to>
    <xdr:cxnSp macro="">
      <xdr:nvCxnSpPr>
        <xdr:cNvPr id="5" name="Elbow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>
          <a:stCxn id="2" idx="2"/>
        </xdr:cNvCxnSpPr>
      </xdr:nvCxnSpPr>
      <xdr:spPr>
        <a:xfrm rot="16200000" flipH="1">
          <a:off x="6257925" y="6267450"/>
          <a:ext cx="548640" cy="1501140"/>
        </a:xfrm>
        <a:prstGeom prst="bentConnector2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xcelcalculations.blogspot.com/2011/07/equilibrium-flash-excel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excelcalculations.blogspot.com/2011/07/equilibrium-flash-excel.htm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oleObject" Target="../embeddings/oleObject5.bin"/><Relationship Id="rId3" Type="http://schemas.openxmlformats.org/officeDocument/2006/relationships/drawing" Target="../drawings/drawing14.x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8.emf"/><Relationship Id="rId2" Type="http://schemas.openxmlformats.org/officeDocument/2006/relationships/hyperlink" Target="http://www.jstage.jst.go.jp/article/jpi/52/5/270/_pdf" TargetMode="External"/><Relationship Id="rId1" Type="http://schemas.openxmlformats.org/officeDocument/2006/relationships/hyperlink" Target="mailto:ankur_2061@hotmail.com" TargetMode="External"/><Relationship Id="rId6" Type="http://schemas.openxmlformats.org/officeDocument/2006/relationships/image" Target="../media/image5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7.emf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Relationship Id="rId14" Type="http://schemas.openxmlformats.org/officeDocument/2006/relationships/image" Target="../media/image9.emf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52"/>
  <sheetViews>
    <sheetView topLeftCell="A27" workbookViewId="0">
      <selection activeCell="F38" sqref="F37:F38"/>
    </sheetView>
  </sheetViews>
  <sheetFormatPr defaultColWidth="9.140625" defaultRowHeight="15" x14ac:dyDescent="0.25"/>
  <cols>
    <col min="1" max="1" width="3.85546875" style="4" customWidth="1"/>
    <col min="2" max="2" width="10.7109375" style="5" customWidth="1"/>
    <col min="3" max="3" width="13.85546875" style="4" customWidth="1"/>
    <col min="4" max="4" width="32.140625" style="4" customWidth="1"/>
    <col min="5" max="5" width="17" style="4" customWidth="1"/>
    <col min="6" max="6" width="13.140625" style="4" customWidth="1"/>
    <col min="7" max="7" width="1.28515625" style="4" customWidth="1"/>
    <col min="8" max="8" width="20.42578125" style="5" bestFit="1" customWidth="1"/>
    <col min="9" max="12" width="9.140625" style="4"/>
    <col min="13" max="13" width="12" style="4" bestFit="1" customWidth="1"/>
    <col min="14" max="15" width="9.140625" style="4"/>
    <col min="16" max="16" width="41.140625" style="4" customWidth="1"/>
    <col min="17" max="16384" width="9.140625" style="4"/>
  </cols>
  <sheetData>
    <row r="1" spans="2:9" ht="23.25" x14ac:dyDescent="0.35">
      <c r="D1" s="172" t="s">
        <v>377</v>
      </c>
    </row>
    <row r="2" spans="2:9" x14ac:dyDescent="0.25">
      <c r="D2" s="4" t="s">
        <v>623</v>
      </c>
    </row>
    <row r="3" spans="2:9" x14ac:dyDescent="0.25">
      <c r="B3" s="284" t="s">
        <v>217</v>
      </c>
    </row>
    <row r="4" spans="2:9" x14ac:dyDescent="0.25">
      <c r="B4" s="4"/>
    </row>
    <row r="5" spans="2:9" x14ac:dyDescent="0.25">
      <c r="B5" s="68" t="s">
        <v>489</v>
      </c>
    </row>
    <row r="6" spans="2:9" ht="15.75" x14ac:dyDescent="0.25">
      <c r="B6" s="285">
        <v>5.1700000000000001E-3</v>
      </c>
      <c r="C6" s="4" t="s">
        <v>364</v>
      </c>
      <c r="E6" s="160" t="s">
        <v>363</v>
      </c>
      <c r="F6" s="161" t="s">
        <v>360</v>
      </c>
      <c r="G6" s="162"/>
      <c r="H6" s="163" t="s">
        <v>111</v>
      </c>
    </row>
    <row r="7" spans="2:9" ht="15.75" x14ac:dyDescent="0.25">
      <c r="B7" s="285">
        <v>1.6199999999999999E-2</v>
      </c>
      <c r="C7" s="4" t="s">
        <v>365</v>
      </c>
      <c r="E7" s="164" t="s">
        <v>361</v>
      </c>
      <c r="F7" s="165">
        <f>'Plant Op Exp'!H64</f>
        <v>13067829.828554243</v>
      </c>
      <c r="G7" s="166"/>
      <c r="H7" s="167">
        <f>F7/365/B33/1000</f>
        <v>0.17901136751444169</v>
      </c>
    </row>
    <row r="8" spans="2:9" ht="15.75" x14ac:dyDescent="0.25">
      <c r="B8" s="285">
        <v>2.0000000000000002E-5</v>
      </c>
      <c r="C8" s="4" t="s">
        <v>366</v>
      </c>
      <c r="E8" s="164" t="s">
        <v>234</v>
      </c>
      <c r="F8" s="165">
        <f>'Field Op Exp'!I74</f>
        <v>6210008.623061223</v>
      </c>
      <c r="G8" s="168"/>
      <c r="H8" s="167">
        <f>F8/365/B33/1000</f>
        <v>8.5068611274811259E-2</v>
      </c>
    </row>
    <row r="9" spans="2:9" ht="15.75" x14ac:dyDescent="0.25">
      <c r="B9" s="285">
        <v>0.78068060303845899</v>
      </c>
      <c r="C9" s="4" t="s">
        <v>367</v>
      </c>
      <c r="E9" s="169" t="s">
        <v>362</v>
      </c>
      <c r="F9" s="170">
        <f>F7+F8</f>
        <v>19277838.451615468</v>
      </c>
      <c r="G9" s="171"/>
      <c r="H9" s="167">
        <f>F9/365/B33/1000</f>
        <v>0.26407997878925293</v>
      </c>
    </row>
    <row r="10" spans="2:9" x14ac:dyDescent="0.25">
      <c r="B10" s="285">
        <v>9.8900000000000002E-2</v>
      </c>
      <c r="C10" s="4" t="s">
        <v>368</v>
      </c>
      <c r="G10" s="65"/>
    </row>
    <row r="11" spans="2:9" x14ac:dyDescent="0.25">
      <c r="B11" s="285">
        <v>5.6728247513815354E-2</v>
      </c>
      <c r="C11" s="4" t="s">
        <v>369</v>
      </c>
      <c r="E11" s="4" t="s">
        <v>379</v>
      </c>
      <c r="G11" s="65"/>
      <c r="H11" s="25">
        <f>'Hp Est Tool'!Q86</f>
        <v>54163.366157096098</v>
      </c>
      <c r="I11" s="4" t="s">
        <v>41</v>
      </c>
    </row>
    <row r="12" spans="2:9" x14ac:dyDescent="0.25">
      <c r="B12" s="285">
        <v>9.8111258104631154E-3</v>
      </c>
      <c r="C12" s="4" t="s">
        <v>370</v>
      </c>
      <c r="E12" s="4" t="s">
        <v>423</v>
      </c>
      <c r="G12" s="65"/>
      <c r="H12" s="25">
        <f>(B35*B22/1000+B37*B22/1000+B43)*1000</f>
        <v>13765.336485433712</v>
      </c>
      <c r="I12" s="4" t="s">
        <v>118</v>
      </c>
    </row>
    <row r="13" spans="2:9" x14ac:dyDescent="0.25">
      <c r="B13" s="285">
        <v>1.4188959438735479E-2</v>
      </c>
      <c r="C13" s="4" t="s">
        <v>371</v>
      </c>
      <c r="E13" s="4" t="s">
        <v>423</v>
      </c>
      <c r="G13" s="65"/>
      <c r="H13" s="44">
        <f>H12/B33/B22</f>
        <v>5.4623003479282908E-2</v>
      </c>
      <c r="I13" s="4" t="s">
        <v>424</v>
      </c>
    </row>
    <row r="14" spans="2:9" x14ac:dyDescent="0.25">
      <c r="B14" s="285">
        <v>6.1652503186639647E-3</v>
      </c>
      <c r="C14" s="4" t="s">
        <v>372</v>
      </c>
      <c r="E14" s="4" t="s">
        <v>425</v>
      </c>
      <c r="G14" s="65"/>
      <c r="H14" s="25">
        <f>B43*1000</f>
        <v>4585.3053988371521</v>
      </c>
      <c r="I14" s="4" t="s">
        <v>118</v>
      </c>
    </row>
    <row r="15" spans="2:9" x14ac:dyDescent="0.25">
      <c r="B15" s="285">
        <v>8.6467266405882773E-3</v>
      </c>
      <c r="C15" s="4" t="s">
        <v>373</v>
      </c>
      <c r="E15" s="4" t="s">
        <v>426</v>
      </c>
      <c r="G15" s="65"/>
      <c r="H15" s="25">
        <f>H12-H14</f>
        <v>9180.0310865965603</v>
      </c>
      <c r="I15" s="4" t="s">
        <v>118</v>
      </c>
    </row>
    <row r="16" spans="2:9" x14ac:dyDescent="0.25">
      <c r="B16" s="285">
        <v>2.3178288985366783E-3</v>
      </c>
      <c r="C16" s="4" t="s">
        <v>374</v>
      </c>
      <c r="G16" s="65"/>
    </row>
    <row r="17" spans="2:7" x14ac:dyDescent="0.25">
      <c r="B17" s="285">
        <v>1.1999999999999999E-3</v>
      </c>
      <c r="C17" s="4" t="s">
        <v>375</v>
      </c>
      <c r="G17" s="65"/>
    </row>
    <row r="18" spans="2:7" hidden="1" x14ac:dyDescent="0.25">
      <c r="B18" s="97">
        <v>0</v>
      </c>
      <c r="C18" s="4" t="s">
        <v>376</v>
      </c>
      <c r="G18" s="65"/>
    </row>
    <row r="19" spans="2:7" x14ac:dyDescent="0.25">
      <c r="B19" s="65">
        <f>SUM(B6:B18)</f>
        <v>1.0000287416592619</v>
      </c>
    </row>
    <row r="21" spans="2:7" x14ac:dyDescent="0.25">
      <c r="B21" s="66">
        <f>'Prop Est'!U20</f>
        <v>5.6915939898887604</v>
      </c>
      <c r="C21" s="4" t="s">
        <v>12</v>
      </c>
    </row>
    <row r="22" spans="2:7" x14ac:dyDescent="0.25">
      <c r="B22" s="67">
        <f>'Prop Est'!S20</f>
        <v>1260.0310865965607</v>
      </c>
      <c r="C22" s="4" t="s">
        <v>478</v>
      </c>
    </row>
    <row r="23" spans="2:7" x14ac:dyDescent="0.25">
      <c r="B23" s="67">
        <f>'Water Content'!B49</f>
        <v>464.31408696374763</v>
      </c>
      <c r="C23" s="4" t="s">
        <v>483</v>
      </c>
    </row>
    <row r="24" spans="2:7" x14ac:dyDescent="0.25">
      <c r="B24" s="67">
        <f>HDP!N6</f>
        <v>70.667096381302514</v>
      </c>
      <c r="C24" s="4" t="s">
        <v>604</v>
      </c>
    </row>
    <row r="25" spans="2:7" x14ac:dyDescent="0.25">
      <c r="C25" s="6" t="s">
        <v>112</v>
      </c>
    </row>
    <row r="26" spans="2:7" x14ac:dyDescent="0.25">
      <c r="B26" s="285">
        <v>0.92</v>
      </c>
      <c r="C26" s="4" t="s">
        <v>13</v>
      </c>
    </row>
    <row r="27" spans="2:7" x14ac:dyDescent="0.25">
      <c r="B27" s="285">
        <v>0.98</v>
      </c>
      <c r="C27" s="4" t="s">
        <v>14</v>
      </c>
    </row>
    <row r="28" spans="2:7" x14ac:dyDescent="0.25">
      <c r="B28" s="285">
        <v>0.995</v>
      </c>
      <c r="C28" s="4" t="s">
        <v>15</v>
      </c>
    </row>
    <row r="30" spans="2:7" x14ac:dyDescent="0.25">
      <c r="B30" s="66">
        <f>B47/B33/1000</f>
        <v>5.1826290288228449</v>
      </c>
      <c r="C30" s="4" t="s">
        <v>316</v>
      </c>
    </row>
    <row r="31" spans="2:7" x14ac:dyDescent="0.25">
      <c r="B31" s="66"/>
    </row>
    <row r="32" spans="2:7" x14ac:dyDescent="0.25">
      <c r="C32" s="6" t="s">
        <v>113</v>
      </c>
    </row>
    <row r="33" spans="2:4" x14ac:dyDescent="0.25">
      <c r="B33" s="243">
        <v>200</v>
      </c>
      <c r="C33" s="4" t="s">
        <v>17</v>
      </c>
      <c r="D33" s="4" t="s">
        <v>236</v>
      </c>
    </row>
    <row r="34" spans="2:4" x14ac:dyDescent="0.25">
      <c r="B34" s="101">
        <f>B35/B33</f>
        <v>3.1427796045066313E-2</v>
      </c>
      <c r="C34" s="4" t="s">
        <v>208</v>
      </c>
      <c r="D34" s="4" t="s">
        <v>395</v>
      </c>
    </row>
    <row r="35" spans="2:4" x14ac:dyDescent="0.25">
      <c r="B35" s="100">
        <f>'Hp Est Tool'!Q16</f>
        <v>6.2855592090132628</v>
      </c>
      <c r="C35" s="4" t="s">
        <v>17</v>
      </c>
      <c r="D35" s="4" t="s">
        <v>394</v>
      </c>
    </row>
    <row r="36" spans="2:4" x14ac:dyDescent="0.25">
      <c r="B36" s="286">
        <v>5.0000000000000001E-3</v>
      </c>
      <c r="C36" s="4" t="s">
        <v>208</v>
      </c>
      <c r="D36" s="4" t="s">
        <v>242</v>
      </c>
    </row>
    <row r="37" spans="2:4" x14ac:dyDescent="0.25">
      <c r="B37" s="100">
        <f>B36*B33</f>
        <v>1</v>
      </c>
      <c r="C37" s="4" t="s">
        <v>17</v>
      </c>
      <c r="D37" s="4" t="s">
        <v>307</v>
      </c>
    </row>
    <row r="38" spans="2:4" x14ac:dyDescent="0.25">
      <c r="B38" s="100">
        <f>B33-B35-B37</f>
        <v>192.71444079098674</v>
      </c>
      <c r="C38" s="4" t="s">
        <v>17</v>
      </c>
      <c r="D38" s="4" t="s">
        <v>235</v>
      </c>
    </row>
    <row r="39" spans="2:4" x14ac:dyDescent="0.25">
      <c r="B39" s="100">
        <f>'Plant Inlet Drwg'!P52</f>
        <v>1.6512659675361192</v>
      </c>
      <c r="C39" s="4" t="s">
        <v>17</v>
      </c>
      <c r="D39" s="4" t="s">
        <v>309</v>
      </c>
    </row>
    <row r="40" spans="2:4" x14ac:dyDescent="0.25">
      <c r="B40" s="100">
        <f>'Plant Inlet Drwg'!I86*60*24*21.2/1000</f>
        <v>277.76721339557605</v>
      </c>
      <c r="C40" s="4" t="s">
        <v>622</v>
      </c>
      <c r="D40" s="4" t="s">
        <v>311</v>
      </c>
    </row>
    <row r="41" spans="2:4" x14ac:dyDescent="0.25">
      <c r="B41" s="100">
        <f>'Cryo Plt Drwg'!E39</f>
        <v>191.02854354659826</v>
      </c>
      <c r="C41" s="4" t="s">
        <v>17</v>
      </c>
      <c r="D41" s="4" t="s">
        <v>308</v>
      </c>
    </row>
    <row r="42" spans="2:4" x14ac:dyDescent="0.25">
      <c r="B42" s="65">
        <f>'Plant Op Exp'!E62</f>
        <v>2.3793263130759669E-2</v>
      </c>
      <c r="C42" s="4" t="s">
        <v>208</v>
      </c>
      <c r="D42" s="4" t="s">
        <v>239</v>
      </c>
    </row>
    <row r="43" spans="2:4" x14ac:dyDescent="0.25">
      <c r="B43" s="100">
        <f>B42*B38</f>
        <v>4.5853053988371517</v>
      </c>
      <c r="C43" s="4" t="s">
        <v>17</v>
      </c>
      <c r="D43" s="4" t="s">
        <v>317</v>
      </c>
    </row>
    <row r="44" spans="2:4" x14ac:dyDescent="0.25">
      <c r="B44" s="25">
        <f>'Cryo Plt Drwg'!E39-'Cryo Plt Drwg'!F39</f>
        <v>37.71297866325844</v>
      </c>
      <c r="C44" s="4" t="s">
        <v>17</v>
      </c>
      <c r="D44" s="4" t="s">
        <v>313</v>
      </c>
    </row>
    <row r="45" spans="2:4" x14ac:dyDescent="0.25">
      <c r="B45" s="25">
        <f>'Cryo Plt Drwg'!F39</f>
        <v>153.31556488333982</v>
      </c>
      <c r="C45" s="4" t="s">
        <v>17</v>
      </c>
      <c r="D45" s="4" t="s">
        <v>18</v>
      </c>
    </row>
    <row r="46" spans="2:4" x14ac:dyDescent="0.25">
      <c r="B46" s="25">
        <f>B45-B43</f>
        <v>148.73025948450265</v>
      </c>
      <c r="C46" s="4" t="s">
        <v>17</v>
      </c>
      <c r="D46" s="4" t="s">
        <v>318</v>
      </c>
    </row>
    <row r="47" spans="2:4" x14ac:dyDescent="0.25">
      <c r="B47" s="67">
        <f>'Cryo Plt Drwg'!C23*42</f>
        <v>1036525.805764569</v>
      </c>
      <c r="C47" s="4" t="s">
        <v>0</v>
      </c>
      <c r="D47" s="4" t="s">
        <v>16</v>
      </c>
    </row>
    <row r="48" spans="2:4" x14ac:dyDescent="0.25">
      <c r="B48" s="67">
        <f>B47/42</f>
        <v>24679.185851537357</v>
      </c>
      <c r="C48" s="4" t="s">
        <v>1</v>
      </c>
      <c r="D48" s="4" t="s">
        <v>16</v>
      </c>
    </row>
    <row r="49" spans="2:4" x14ac:dyDescent="0.25">
      <c r="B49" s="25">
        <f>'Booster Drwg'!I32+'Plant Inlet Drwg'!J54</f>
        <v>241.1985588142893</v>
      </c>
      <c r="C49" s="4" t="s">
        <v>1</v>
      </c>
      <c r="D49" s="4" t="s">
        <v>2</v>
      </c>
    </row>
    <row r="51" spans="2:4" x14ac:dyDescent="0.25">
      <c r="B51" s="25" t="s">
        <v>19</v>
      </c>
    </row>
    <row r="52" spans="2:4" x14ac:dyDescent="0.25">
      <c r="B52" s="5" t="s">
        <v>19</v>
      </c>
    </row>
  </sheetData>
  <pageMargins left="0.7" right="0.2" top="0.75" bottom="0.75" header="0.3" footer="0.3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V86"/>
  <sheetViews>
    <sheetView workbookViewId="0">
      <selection activeCell="Q10" sqref="Q10"/>
    </sheetView>
  </sheetViews>
  <sheetFormatPr defaultColWidth="9.140625" defaultRowHeight="15" x14ac:dyDescent="0.25"/>
  <cols>
    <col min="1" max="13" width="9.140625" style="4"/>
    <col min="14" max="14" width="5.140625" style="4" customWidth="1"/>
    <col min="15" max="15" width="9.140625" style="4"/>
    <col min="16" max="16" width="19.140625" style="4" customWidth="1"/>
    <col min="17" max="17" width="9.140625" style="4" customWidth="1"/>
    <col min="18" max="16384" width="9.140625" style="4"/>
  </cols>
  <sheetData>
    <row r="1" spans="2:22" x14ac:dyDescent="0.25">
      <c r="B1" s="6" t="s">
        <v>121</v>
      </c>
    </row>
    <row r="4" spans="2:22" x14ac:dyDescent="0.25">
      <c r="B4"/>
      <c r="O4" s="6" t="s">
        <v>234</v>
      </c>
    </row>
    <row r="5" spans="2:22" x14ac:dyDescent="0.25">
      <c r="O5" s="4" t="s">
        <v>122</v>
      </c>
      <c r="Q5" s="4">
        <f>'Booster Drwg'!E34</f>
        <v>25</v>
      </c>
      <c r="R5" s="4" t="s">
        <v>123</v>
      </c>
    </row>
    <row r="6" spans="2:22" x14ac:dyDescent="0.25">
      <c r="O6" s="4" t="s">
        <v>124</v>
      </c>
      <c r="Q6" s="4">
        <f>'Booster Drwg'!L34</f>
        <v>500</v>
      </c>
      <c r="R6" s="4" t="s">
        <v>123</v>
      </c>
    </row>
    <row r="7" spans="2:22" x14ac:dyDescent="0.25">
      <c r="O7" s="4" t="s">
        <v>125</v>
      </c>
      <c r="Q7" s="71">
        <f>(Q6+14.7)/(Q5+14.7)</f>
        <v>12.964735516372796</v>
      </c>
    </row>
    <row r="8" spans="2:22" x14ac:dyDescent="0.25">
      <c r="O8" s="4" t="s">
        <v>126</v>
      </c>
      <c r="Q8" s="125">
        <v>165</v>
      </c>
      <c r="S8" s="4" t="s">
        <v>127</v>
      </c>
    </row>
    <row r="9" spans="2:22" x14ac:dyDescent="0.25">
      <c r="O9" s="4" t="s">
        <v>17</v>
      </c>
      <c r="Q9" s="4">
        <f>'Design Basis'!B33</f>
        <v>200</v>
      </c>
    </row>
    <row r="10" spans="2:22" x14ac:dyDescent="0.25">
      <c r="O10" s="4" t="s">
        <v>128</v>
      </c>
      <c r="Q10" s="4">
        <f>Q9*Q8</f>
        <v>33000</v>
      </c>
    </row>
    <row r="12" spans="2:22" x14ac:dyDescent="0.25">
      <c r="O12" s="4" t="s">
        <v>129</v>
      </c>
      <c r="Q12" s="71">
        <f>7500*Q10/1000000*24</f>
        <v>5940</v>
      </c>
      <c r="R12" s="4" t="s">
        <v>118</v>
      </c>
      <c r="T12" s="4" t="s">
        <v>130</v>
      </c>
      <c r="V12" s="4" t="s">
        <v>19</v>
      </c>
    </row>
    <row r="13" spans="2:22" x14ac:dyDescent="0.25">
      <c r="O13" s="4" t="s">
        <v>129</v>
      </c>
      <c r="Q13" s="4">
        <f>Q10*0.75*24/0.75</f>
        <v>792000</v>
      </c>
      <c r="R13" s="4" t="s">
        <v>131</v>
      </c>
      <c r="T13" s="4" t="s">
        <v>132</v>
      </c>
      <c r="V13" s="4" t="s">
        <v>19</v>
      </c>
    </row>
    <row r="14" spans="2:22" x14ac:dyDescent="0.25">
      <c r="O14" s="4" t="s">
        <v>133</v>
      </c>
      <c r="Q14" s="71">
        <f>2500*Q10*24/1000000</f>
        <v>1980</v>
      </c>
      <c r="R14" s="4" t="s">
        <v>118</v>
      </c>
    </row>
    <row r="15" spans="2:22" x14ac:dyDescent="0.25">
      <c r="O15" s="4" t="s">
        <v>241</v>
      </c>
      <c r="Q15" s="71">
        <f>Q12+Q14</f>
        <v>7920</v>
      </c>
      <c r="R15" s="4" t="s">
        <v>118</v>
      </c>
    </row>
    <row r="16" spans="2:22" x14ac:dyDescent="0.25">
      <c r="O16" s="4" t="s">
        <v>241</v>
      </c>
      <c r="Q16" s="99">
        <f>Q15/'Prop Est'!S20</f>
        <v>6.2855592090132628</v>
      </c>
      <c r="R16" s="4" t="s">
        <v>120</v>
      </c>
    </row>
    <row r="17" spans="15:20" x14ac:dyDescent="0.25">
      <c r="O17" s="4" t="s">
        <v>396</v>
      </c>
      <c r="Q17" s="4">
        <f>Q15*1000000/24/Q10</f>
        <v>10000</v>
      </c>
    </row>
    <row r="19" spans="15:20" x14ac:dyDescent="0.25">
      <c r="O19" s="6" t="s">
        <v>243</v>
      </c>
    </row>
    <row r="20" spans="15:20" x14ac:dyDescent="0.25">
      <c r="O20" s="4" t="s">
        <v>122</v>
      </c>
      <c r="Q20" s="71">
        <f>'Plant Inlet Drwg'!U57</f>
        <v>437.5</v>
      </c>
      <c r="R20" s="4" t="s">
        <v>123</v>
      </c>
    </row>
    <row r="21" spans="15:20" x14ac:dyDescent="0.25">
      <c r="O21" s="4" t="s">
        <v>124</v>
      </c>
      <c r="Q21" s="71">
        <f>'Plant Inlet Drwg'!V57</f>
        <v>850</v>
      </c>
      <c r="R21" s="4" t="s">
        <v>123</v>
      </c>
    </row>
    <row r="22" spans="15:20" x14ac:dyDescent="0.25">
      <c r="O22" s="4" t="s">
        <v>125</v>
      </c>
      <c r="Q22" s="71">
        <f>(Q21+14.7)/(Q20+14.7)</f>
        <v>1.9122069880583814</v>
      </c>
    </row>
    <row r="23" spans="15:20" x14ac:dyDescent="0.25">
      <c r="O23" s="4" t="s">
        <v>126</v>
      </c>
      <c r="Q23" s="125">
        <v>45</v>
      </c>
      <c r="S23" s="4" t="s">
        <v>127</v>
      </c>
    </row>
    <row r="24" spans="15:20" x14ac:dyDescent="0.25">
      <c r="O24" s="4" t="s">
        <v>17</v>
      </c>
      <c r="Q24" s="99">
        <f>'Plant Inlet Drwg'!V52</f>
        <v>191.02854354659826</v>
      </c>
    </row>
    <row r="25" spans="15:20" x14ac:dyDescent="0.25">
      <c r="O25" s="4" t="s">
        <v>128</v>
      </c>
      <c r="Q25" s="71">
        <f>Q24*Q23</f>
        <v>8596.2844595969218</v>
      </c>
    </row>
    <row r="27" spans="15:20" x14ac:dyDescent="0.25">
      <c r="O27" s="4" t="s">
        <v>129</v>
      </c>
      <c r="Q27" s="71">
        <f>7500*Q25/1000000*24</f>
        <v>1547.331202727446</v>
      </c>
      <c r="R27" s="4" t="s">
        <v>118</v>
      </c>
      <c r="T27" s="4" t="s">
        <v>130</v>
      </c>
    </row>
    <row r="28" spans="15:20" x14ac:dyDescent="0.25">
      <c r="O28" s="4" t="s">
        <v>129</v>
      </c>
      <c r="Q28" s="156">
        <f>Q25*0.75*24/0.75</f>
        <v>206310.82703032612</v>
      </c>
      <c r="R28" s="4" t="s">
        <v>131</v>
      </c>
      <c r="T28" s="4" t="s">
        <v>132</v>
      </c>
    </row>
    <row r="29" spans="15:20" x14ac:dyDescent="0.25">
      <c r="O29" s="4" t="s">
        <v>133</v>
      </c>
      <c r="Q29" s="71">
        <f>2500*Q25*24/1000000</f>
        <v>515.77706757581529</v>
      </c>
      <c r="R29" s="4" t="s">
        <v>118</v>
      </c>
    </row>
    <row r="30" spans="15:20" x14ac:dyDescent="0.25">
      <c r="O30" s="4" t="s">
        <v>244</v>
      </c>
      <c r="Q30" s="71">
        <f>Q27+Q29</f>
        <v>2063.1082703032612</v>
      </c>
      <c r="R30" s="4" t="s">
        <v>118</v>
      </c>
    </row>
    <row r="31" spans="15:20" x14ac:dyDescent="0.25">
      <c r="O31" s="4" t="s">
        <v>244</v>
      </c>
      <c r="Q31" s="99">
        <f>Q30/'Prop Est'!S63</f>
        <v>1.6378355069631907</v>
      </c>
      <c r="R31" s="4" t="s">
        <v>120</v>
      </c>
    </row>
    <row r="32" spans="15:20" x14ac:dyDescent="0.25">
      <c r="O32" s="4" t="s">
        <v>396</v>
      </c>
      <c r="Q32" s="4">
        <f>Q30*1000000/24/Q25</f>
        <v>10000</v>
      </c>
    </row>
    <row r="34" spans="2:20" x14ac:dyDescent="0.25">
      <c r="O34" s="6" t="s">
        <v>245</v>
      </c>
    </row>
    <row r="35" spans="2:20" x14ac:dyDescent="0.25">
      <c r="C35" s="72" t="s">
        <v>134</v>
      </c>
      <c r="O35" s="4" t="s">
        <v>122</v>
      </c>
      <c r="Q35" s="4">
        <f>'Cryo Plt Drwg'!S7</f>
        <v>300</v>
      </c>
      <c r="R35" s="4" t="s">
        <v>123</v>
      </c>
    </row>
    <row r="36" spans="2:20" x14ac:dyDescent="0.25">
      <c r="C36" s="72"/>
      <c r="O36" s="4" t="s">
        <v>124</v>
      </c>
      <c r="Q36" s="4">
        <f>'Cryo Plt Drwg'!L2</f>
        <v>1000</v>
      </c>
      <c r="R36" s="4" t="s">
        <v>123</v>
      </c>
    </row>
    <row r="37" spans="2:20" x14ac:dyDescent="0.25">
      <c r="O37" s="4" t="s">
        <v>125</v>
      </c>
      <c r="Q37" s="71">
        <f>(Q36+14.7)/(Q35+14.7)</f>
        <v>3.2243406418811569</v>
      </c>
    </row>
    <row r="38" spans="2:20" x14ac:dyDescent="0.25">
      <c r="B38" s="6" t="s">
        <v>135</v>
      </c>
      <c r="O38" s="4" t="s">
        <v>126</v>
      </c>
      <c r="Q38" s="125">
        <v>65</v>
      </c>
      <c r="S38" s="4" t="s">
        <v>127</v>
      </c>
    </row>
    <row r="39" spans="2:20" x14ac:dyDescent="0.25">
      <c r="O39" s="4" t="s">
        <v>17</v>
      </c>
      <c r="Q39" s="71">
        <f>'Cryo Plt Drwg'!L1</f>
        <v>153.31556488333982</v>
      </c>
    </row>
    <row r="40" spans="2:20" x14ac:dyDescent="0.25">
      <c r="D40" s="60"/>
      <c r="E40" s="60"/>
      <c r="F40" s="60"/>
      <c r="G40" s="60" t="s">
        <v>136</v>
      </c>
      <c r="H40" s="60"/>
      <c r="I40" s="60"/>
      <c r="J40" s="60"/>
      <c r="K40" s="60"/>
      <c r="L40" s="60"/>
      <c r="O40" s="4" t="s">
        <v>128</v>
      </c>
      <c r="Q40" s="71">
        <f>Q39*Q38</f>
        <v>9965.5117174170882</v>
      </c>
    </row>
    <row r="41" spans="2:20" x14ac:dyDescent="0.25">
      <c r="B41" s="4" t="s">
        <v>19</v>
      </c>
      <c r="D41" s="4" t="s">
        <v>137</v>
      </c>
      <c r="F41" s="4" t="s">
        <v>138</v>
      </c>
      <c r="H41" s="4" t="s">
        <v>139</v>
      </c>
      <c r="J41" s="4" t="s">
        <v>140</v>
      </c>
      <c r="L41" s="4" t="s">
        <v>141</v>
      </c>
    </row>
    <row r="42" spans="2:20" x14ac:dyDescent="0.25">
      <c r="B42" s="4" t="s">
        <v>397</v>
      </c>
      <c r="D42" s="4" t="s">
        <v>142</v>
      </c>
      <c r="F42" s="4" t="s">
        <v>143</v>
      </c>
      <c r="H42" s="4" t="s">
        <v>144</v>
      </c>
      <c r="J42" s="4" t="s">
        <v>145</v>
      </c>
      <c r="L42" s="4" t="s">
        <v>146</v>
      </c>
      <c r="O42" s="4" t="s">
        <v>129</v>
      </c>
      <c r="Q42" s="71">
        <f>7500*Q40/1000000*24</f>
        <v>1793.7921091350759</v>
      </c>
      <c r="R42" s="4" t="s">
        <v>118</v>
      </c>
      <c r="T42" s="4" t="s">
        <v>130</v>
      </c>
    </row>
    <row r="43" spans="2:20" x14ac:dyDescent="0.25">
      <c r="B43" s="4" t="s">
        <v>398</v>
      </c>
      <c r="D43" s="4">
        <v>7500</v>
      </c>
      <c r="F43" s="4">
        <f>(1050+3600)/2</f>
        <v>2325</v>
      </c>
      <c r="H43" s="4">
        <f>(108+350)/2</f>
        <v>229</v>
      </c>
      <c r="J43" s="4">
        <f>(265+445)/2</f>
        <v>355</v>
      </c>
      <c r="L43" s="4">
        <f>D43+F43+H43+J43</f>
        <v>10409</v>
      </c>
      <c r="O43" s="4" t="s">
        <v>129</v>
      </c>
      <c r="Q43" s="156">
        <f>Q40*0.75*24/0.75</f>
        <v>239172.28121801012</v>
      </c>
      <c r="R43" s="4" t="s">
        <v>131</v>
      </c>
      <c r="T43" s="4" t="s">
        <v>132</v>
      </c>
    </row>
    <row r="44" spans="2:20" x14ac:dyDescent="0.25">
      <c r="L44" s="4" t="s">
        <v>19</v>
      </c>
      <c r="O44" s="4" t="s">
        <v>133</v>
      </c>
      <c r="Q44" s="71">
        <f>2500*Q40*24/1000000</f>
        <v>597.93070304502533</v>
      </c>
      <c r="R44" s="4" t="s">
        <v>118</v>
      </c>
    </row>
    <row r="45" spans="2:20" x14ac:dyDescent="0.25">
      <c r="O45" s="4" t="s">
        <v>244</v>
      </c>
      <c r="Q45" s="71">
        <f>Q42+Q44</f>
        <v>2391.7228121801013</v>
      </c>
      <c r="R45" s="4" t="s">
        <v>118</v>
      </c>
    </row>
    <row r="46" spans="2:20" x14ac:dyDescent="0.25">
      <c r="O46" s="4" t="s">
        <v>244</v>
      </c>
      <c r="Q46" s="99">
        <f>Q45/'Prop Est'!S63</f>
        <v>1.8987120554883039</v>
      </c>
      <c r="R46" s="4" t="s">
        <v>120</v>
      </c>
    </row>
    <row r="47" spans="2:20" x14ac:dyDescent="0.25">
      <c r="O47" s="4" t="s">
        <v>396</v>
      </c>
      <c r="Q47" s="4">
        <f>Q45*1000000/24/Q40</f>
        <v>10000.000000000002</v>
      </c>
    </row>
    <row r="49" spans="15:20" x14ac:dyDescent="0.25">
      <c r="O49" s="6" t="s">
        <v>246</v>
      </c>
    </row>
    <row r="50" spans="15:20" x14ac:dyDescent="0.25">
      <c r="O50" s="4" t="s">
        <v>122</v>
      </c>
      <c r="Q50" s="4">
        <v>2</v>
      </c>
      <c r="R50" s="4" t="s">
        <v>123</v>
      </c>
    </row>
    <row r="51" spans="15:20" x14ac:dyDescent="0.25">
      <c r="O51" s="4" t="s">
        <v>124</v>
      </c>
      <c r="Q51" s="4">
        <f>'Refrig Drwg'!F8</f>
        <v>267</v>
      </c>
      <c r="R51" s="4" t="s">
        <v>123</v>
      </c>
    </row>
    <row r="52" spans="15:20" x14ac:dyDescent="0.25">
      <c r="O52" s="4" t="s">
        <v>125</v>
      </c>
      <c r="Q52" s="71">
        <v>190</v>
      </c>
    </row>
    <row r="53" spans="15:20" x14ac:dyDescent="0.25">
      <c r="O53" s="4" t="s">
        <v>126</v>
      </c>
      <c r="Q53" s="125">
        <v>300</v>
      </c>
      <c r="S53" s="4" t="s">
        <v>127</v>
      </c>
    </row>
    <row r="54" spans="15:20" x14ac:dyDescent="0.25">
      <c r="O54" s="4" t="s">
        <v>17</v>
      </c>
      <c r="Q54" s="71">
        <f>Q55/Q53</f>
        <v>7.8218999336069466</v>
      </c>
    </row>
    <row r="55" spans="15:20" x14ac:dyDescent="0.25">
      <c r="O55" s="4" t="s">
        <v>128</v>
      </c>
      <c r="Q55" s="71">
        <f>'Refrig Drwg'!D24+'Refrig Drwg'!F24</f>
        <v>2346.5699800820839</v>
      </c>
    </row>
    <row r="57" spans="15:20" x14ac:dyDescent="0.25">
      <c r="O57" s="4" t="s">
        <v>129</v>
      </c>
      <c r="Q57" s="71">
        <f>7500*Q55/1000000*24</f>
        <v>422.38259641477509</v>
      </c>
      <c r="R57" s="4" t="s">
        <v>118</v>
      </c>
      <c r="T57" s="4" t="s">
        <v>130</v>
      </c>
    </row>
    <row r="58" spans="15:20" x14ac:dyDescent="0.25">
      <c r="O58" s="4" t="s">
        <v>129</v>
      </c>
      <c r="Q58" s="156">
        <f>Q55*0.75*24/0.75</f>
        <v>56317.679521970014</v>
      </c>
      <c r="R58" s="4" t="s">
        <v>131</v>
      </c>
      <c r="T58" s="4" t="s">
        <v>132</v>
      </c>
    </row>
    <row r="59" spans="15:20" x14ac:dyDescent="0.25">
      <c r="O59" s="4" t="s">
        <v>133</v>
      </c>
      <c r="Q59" s="71">
        <f>2500*Q55*24/1000000</f>
        <v>140.79419880492503</v>
      </c>
      <c r="R59" s="4" t="s">
        <v>118</v>
      </c>
    </row>
    <row r="60" spans="15:20" x14ac:dyDescent="0.25">
      <c r="O60" s="4" t="s">
        <v>244</v>
      </c>
      <c r="Q60" s="71">
        <f>Q57+Q59</f>
        <v>563.17679521970013</v>
      </c>
      <c r="R60" s="4" t="s">
        <v>118</v>
      </c>
    </row>
    <row r="61" spans="15:20" x14ac:dyDescent="0.25">
      <c r="O61" s="4" t="s">
        <v>244</v>
      </c>
      <c r="Q61" s="99">
        <f>Q60/'Prop Est'!S63</f>
        <v>0.44708800075382288</v>
      </c>
      <c r="R61" s="4" t="s">
        <v>120</v>
      </c>
    </row>
    <row r="62" spans="15:20" x14ac:dyDescent="0.25">
      <c r="O62" s="4" t="s">
        <v>396</v>
      </c>
      <c r="Q62" s="4">
        <f>Q60*1000000/24/Q55</f>
        <v>10000</v>
      </c>
    </row>
    <row r="64" spans="15:20" x14ac:dyDescent="0.25">
      <c r="O64" s="6" t="s">
        <v>247</v>
      </c>
    </row>
    <row r="65" spans="15:20" x14ac:dyDescent="0.25">
      <c r="O65" s="4" t="s">
        <v>122</v>
      </c>
      <c r="Q65" s="71">
        <f>'Plant Inlet Drwg'!$S$57</f>
        <v>407.5</v>
      </c>
      <c r="R65" s="4" t="s">
        <v>123</v>
      </c>
    </row>
    <row r="66" spans="15:20" x14ac:dyDescent="0.25">
      <c r="O66" s="4" t="s">
        <v>124</v>
      </c>
      <c r="Q66" s="71">
        <f>'Plant Inlet Drwg'!$D$57</f>
        <v>437.5</v>
      </c>
      <c r="R66" s="4" t="s">
        <v>123</v>
      </c>
    </row>
    <row r="67" spans="15:20" x14ac:dyDescent="0.25">
      <c r="O67" s="4" t="s">
        <v>125</v>
      </c>
      <c r="Q67" s="71">
        <f>(Q66+14.7)/(Q65+14.7)</f>
        <v>1.0710563713879677</v>
      </c>
    </row>
    <row r="68" spans="15:20" x14ac:dyDescent="0.25">
      <c r="O68" s="4" t="s">
        <v>126</v>
      </c>
      <c r="Q68" s="125">
        <v>17</v>
      </c>
      <c r="S68" s="4" t="s">
        <v>127</v>
      </c>
    </row>
    <row r="69" spans="15:20" x14ac:dyDescent="0.25">
      <c r="O69" s="4" t="s">
        <v>17</v>
      </c>
      <c r="Q69" s="71">
        <f>'Plant Inlet Drwg'!$U$52</f>
        <v>15</v>
      </c>
    </row>
    <row r="70" spans="15:20" x14ac:dyDescent="0.25">
      <c r="O70" s="4" t="s">
        <v>128</v>
      </c>
      <c r="Q70" s="71">
        <f>Q68*Q69</f>
        <v>255</v>
      </c>
    </row>
    <row r="72" spans="15:20" x14ac:dyDescent="0.25">
      <c r="O72" s="4" t="s">
        <v>129</v>
      </c>
      <c r="Q72" s="71">
        <f>7500*Q70/1000000*24</f>
        <v>45.900000000000006</v>
      </c>
      <c r="R72" s="4" t="s">
        <v>118</v>
      </c>
      <c r="T72" s="4" t="s">
        <v>130</v>
      </c>
    </row>
    <row r="73" spans="15:20" x14ac:dyDescent="0.25">
      <c r="O73" s="4" t="s">
        <v>129</v>
      </c>
      <c r="Q73" s="4">
        <f>Q70*0.75*24/0.75</f>
        <v>6120</v>
      </c>
      <c r="R73" s="4" t="s">
        <v>131</v>
      </c>
      <c r="T73" s="4" t="s">
        <v>132</v>
      </c>
    </row>
    <row r="74" spans="15:20" x14ac:dyDescent="0.25">
      <c r="O74" s="4" t="s">
        <v>133</v>
      </c>
      <c r="Q74" s="71">
        <f>2500*Q70*24/1000000</f>
        <v>15.3</v>
      </c>
      <c r="R74" s="4" t="s">
        <v>118</v>
      </c>
    </row>
    <row r="75" spans="15:20" x14ac:dyDescent="0.25">
      <c r="O75" s="4" t="s">
        <v>244</v>
      </c>
      <c r="Q75" s="71">
        <f>Q72+Q74</f>
        <v>61.2</v>
      </c>
      <c r="R75" s="4" t="s">
        <v>118</v>
      </c>
    </row>
    <row r="76" spans="15:20" x14ac:dyDescent="0.25">
      <c r="O76" s="4" t="s">
        <v>244</v>
      </c>
      <c r="Q76" s="99">
        <f>Q75/'Prop Est'!S63</f>
        <v>4.8584717762492138E-2</v>
      </c>
      <c r="R76" s="4" t="s">
        <v>120</v>
      </c>
    </row>
    <row r="77" spans="15:20" x14ac:dyDescent="0.25">
      <c r="O77" s="4" t="s">
        <v>396</v>
      </c>
      <c r="Q77" s="4">
        <f>Q75*1000000/24/Q70</f>
        <v>10000</v>
      </c>
    </row>
    <row r="79" spans="15:20" x14ac:dyDescent="0.25">
      <c r="O79" s="6" t="s">
        <v>248</v>
      </c>
      <c r="P79" s="6"/>
      <c r="Q79" s="102">
        <f>Q16</f>
        <v>6.2855592090132628</v>
      </c>
      <c r="R79" s="6" t="s">
        <v>120</v>
      </c>
    </row>
    <row r="80" spans="15:20" x14ac:dyDescent="0.25">
      <c r="O80" s="6" t="s">
        <v>249</v>
      </c>
      <c r="P80" s="6"/>
      <c r="Q80" s="102">
        <f>Q76+Q61+Q46+Q31</f>
        <v>4.0322202809678096</v>
      </c>
      <c r="R80" s="6" t="s">
        <v>120</v>
      </c>
    </row>
    <row r="81" spans="15:18" x14ac:dyDescent="0.25">
      <c r="O81" s="6" t="s">
        <v>252</v>
      </c>
      <c r="P81" s="6"/>
      <c r="Q81" s="102">
        <f>Q79+Q80</f>
        <v>10.317779489981072</v>
      </c>
      <c r="R81" s="6" t="s">
        <v>120</v>
      </c>
    </row>
    <row r="84" spans="15:18" x14ac:dyDescent="0.25">
      <c r="O84" s="6" t="s">
        <v>250</v>
      </c>
      <c r="P84" s="6"/>
      <c r="Q84" s="6">
        <f>Q10</f>
        <v>33000</v>
      </c>
      <c r="R84" s="6" t="s">
        <v>41</v>
      </c>
    </row>
    <row r="85" spans="15:18" x14ac:dyDescent="0.25">
      <c r="O85" s="6" t="s">
        <v>251</v>
      </c>
      <c r="P85" s="6"/>
      <c r="Q85" s="103">
        <f>Q70+Q55+Q40+Q25</f>
        <v>21163.366157096094</v>
      </c>
      <c r="R85" s="6" t="s">
        <v>41</v>
      </c>
    </row>
    <row r="86" spans="15:18" x14ac:dyDescent="0.25">
      <c r="O86" s="6" t="s">
        <v>253</v>
      </c>
      <c r="P86" s="6"/>
      <c r="Q86" s="103">
        <f>Q84+Q85</f>
        <v>54163.366157096098</v>
      </c>
      <c r="R86" s="6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Y84"/>
  <sheetViews>
    <sheetView tabSelected="1" zoomScaleNormal="100" workbookViewId="0">
      <selection activeCell="BH23" sqref="BH23"/>
    </sheetView>
  </sheetViews>
  <sheetFormatPr defaultColWidth="8.85546875" defaultRowHeight="15" x14ac:dyDescent="0.25"/>
  <cols>
    <col min="1" max="1" width="8.85546875" style="5"/>
    <col min="2" max="2" width="18.7109375" style="5" customWidth="1"/>
    <col min="3" max="3" width="10.28515625" style="5" customWidth="1"/>
    <col min="4" max="7" width="8.85546875" style="5"/>
    <col min="8" max="8" width="9.42578125" style="5" customWidth="1"/>
    <col min="9" max="13" width="8.85546875" style="5"/>
    <col min="14" max="14" width="10" style="66" customWidth="1"/>
    <col min="15" max="16" width="8.85546875" style="73"/>
    <col min="17" max="21" width="8.85546875" style="5"/>
    <col min="22" max="22" width="17.42578125" style="5" hidden="1" customWidth="1"/>
    <col min="23" max="38" width="0" style="5" hidden="1" customWidth="1"/>
    <col min="39" max="39" width="8.5703125" style="5" hidden="1" customWidth="1"/>
    <col min="40" max="40" width="6.85546875" style="5" hidden="1" customWidth="1"/>
    <col min="41" max="41" width="3.7109375" style="5" hidden="1" customWidth="1"/>
    <col min="42" max="42" width="8.5703125" style="5" hidden="1" customWidth="1"/>
    <col min="43" max="43" width="8.140625" style="5" hidden="1" customWidth="1"/>
    <col min="44" max="44" width="7.85546875" style="5" hidden="1" customWidth="1"/>
    <col min="45" max="45" width="8.7109375" style="5" hidden="1" customWidth="1"/>
    <col min="46" max="46" width="5.7109375" style="5" hidden="1" customWidth="1"/>
    <col min="47" max="52" width="0" style="5" hidden="1" customWidth="1"/>
    <col min="53" max="16384" width="8.85546875" style="5"/>
  </cols>
  <sheetData>
    <row r="1" spans="1:51" x14ac:dyDescent="0.25">
      <c r="A1" s="68" t="s">
        <v>147</v>
      </c>
    </row>
    <row r="2" spans="1:51" x14ac:dyDescent="0.25">
      <c r="C2" s="16" t="s">
        <v>148</v>
      </c>
      <c r="D2" s="16"/>
      <c r="E2" s="16"/>
      <c r="F2" s="16" t="s">
        <v>149</v>
      </c>
      <c r="G2" s="16" t="s">
        <v>150</v>
      </c>
      <c r="H2" s="16" t="s">
        <v>151</v>
      </c>
      <c r="I2" s="16" t="s">
        <v>152</v>
      </c>
      <c r="J2" s="16" t="s">
        <v>153</v>
      </c>
      <c r="K2" s="16"/>
      <c r="L2" s="294" t="s">
        <v>154</v>
      </c>
      <c r="M2" s="295"/>
      <c r="N2" s="296"/>
      <c r="O2" s="297" t="s">
        <v>155</v>
      </c>
      <c r="P2" s="298"/>
      <c r="Q2" s="16" t="s">
        <v>156</v>
      </c>
      <c r="R2" s="16" t="s">
        <v>157</v>
      </c>
      <c r="S2" s="16" t="s">
        <v>158</v>
      </c>
      <c r="T2" s="16" t="s">
        <v>159</v>
      </c>
      <c r="U2" s="16" t="s">
        <v>160</v>
      </c>
      <c r="AV2" s="5" t="s">
        <v>479</v>
      </c>
      <c r="AW2" s="5" t="s">
        <v>480</v>
      </c>
      <c r="AX2" s="5" t="s">
        <v>481</v>
      </c>
      <c r="AY2" s="5" t="s">
        <v>482</v>
      </c>
    </row>
    <row r="3" spans="1:51" x14ac:dyDescent="0.25">
      <c r="C3" s="53" t="s">
        <v>161</v>
      </c>
      <c r="D3" s="53" t="s">
        <v>162</v>
      </c>
      <c r="E3" s="53" t="s">
        <v>163</v>
      </c>
      <c r="F3" s="74" t="s">
        <v>164</v>
      </c>
      <c r="G3" s="74" t="s">
        <v>165</v>
      </c>
      <c r="H3" s="53" t="s">
        <v>166</v>
      </c>
      <c r="I3" s="53" t="s">
        <v>167</v>
      </c>
      <c r="J3" s="53" t="s">
        <v>168</v>
      </c>
      <c r="K3" s="53" t="s">
        <v>169</v>
      </c>
      <c r="L3" s="10" t="s">
        <v>170</v>
      </c>
      <c r="M3" s="10" t="s">
        <v>171</v>
      </c>
      <c r="N3" s="75" t="s">
        <v>172</v>
      </c>
      <c r="O3" s="76" t="s">
        <v>170</v>
      </c>
      <c r="P3" s="76" t="s">
        <v>173</v>
      </c>
      <c r="Q3" s="53" t="s">
        <v>174</v>
      </c>
      <c r="R3" s="53" t="s">
        <v>174</v>
      </c>
      <c r="S3" s="53" t="s">
        <v>175</v>
      </c>
      <c r="T3" s="53" t="s">
        <v>176</v>
      </c>
      <c r="U3" s="53" t="s">
        <v>177</v>
      </c>
    </row>
    <row r="4" spans="1:51" x14ac:dyDescent="0.25">
      <c r="B4" s="10" t="s">
        <v>178</v>
      </c>
      <c r="C4" s="87">
        <f>'Design Basis'!B6</f>
        <v>5.1700000000000001E-3</v>
      </c>
      <c r="D4" s="10" t="s">
        <v>5</v>
      </c>
      <c r="E4" s="75">
        <v>28.013000000000002</v>
      </c>
      <c r="F4" s="75">
        <v>-297.33199999999999</v>
      </c>
      <c r="G4" s="10"/>
      <c r="H4" s="77">
        <v>-346</v>
      </c>
      <c r="I4" s="77">
        <v>493</v>
      </c>
      <c r="J4" s="77">
        <v>-232.7</v>
      </c>
      <c r="K4" s="76">
        <v>0.99997000000000003</v>
      </c>
      <c r="L4" s="76">
        <v>0.80940000000000001</v>
      </c>
      <c r="M4" s="75">
        <f>L4*$M$19</f>
        <v>6.7479677999999996</v>
      </c>
      <c r="N4" s="75">
        <f>E4/M4</f>
        <v>4.1513238993226977</v>
      </c>
      <c r="O4" s="76">
        <v>0.96699999999999997</v>
      </c>
      <c r="P4" s="76">
        <v>13.55</v>
      </c>
      <c r="Q4" s="10">
        <v>0.24840000000000001</v>
      </c>
      <c r="R4" s="10"/>
      <c r="S4" s="10"/>
      <c r="T4" s="10"/>
      <c r="U4" s="10"/>
      <c r="AC4" s="5">
        <f t="shared" ref="AC4:AR19" si="0">E4*$C4</f>
        <v>0.14482721000000001</v>
      </c>
      <c r="AD4" s="5">
        <f t="shared" si="0"/>
        <v>-1.5372064400000001</v>
      </c>
      <c r="AE4" s="5">
        <f t="shared" si="0"/>
        <v>0</v>
      </c>
      <c r="AF4" s="5">
        <f t="shared" si="0"/>
        <v>-1.7888200000000001</v>
      </c>
      <c r="AG4" s="5">
        <f t="shared" si="0"/>
        <v>2.54881</v>
      </c>
      <c r="AH4" s="5">
        <f t="shared" si="0"/>
        <v>-1.2030589999999999</v>
      </c>
      <c r="AI4" s="5">
        <f t="shared" si="0"/>
        <v>5.1698449000000006E-3</v>
      </c>
      <c r="AJ4" s="5">
        <f t="shared" si="0"/>
        <v>4.1845980000000003E-3</v>
      </c>
      <c r="AK4" s="5">
        <f t="shared" si="0"/>
        <v>3.4886993525999999E-2</v>
      </c>
      <c r="AL4" s="5">
        <f t="shared" si="0"/>
        <v>2.1462344559498348E-2</v>
      </c>
      <c r="AM4" s="5">
        <f>O4*$C4</f>
        <v>4.9993900000000003E-3</v>
      </c>
      <c r="AN4" s="5">
        <f t="shared" si="0"/>
        <v>7.0053500000000005E-2</v>
      </c>
      <c r="AO4" s="5">
        <f t="shared" si="0"/>
        <v>1.2842280000000001E-3</v>
      </c>
      <c r="AP4" s="5">
        <f t="shared" si="0"/>
        <v>0</v>
      </c>
      <c r="AQ4" s="5">
        <f t="shared" si="0"/>
        <v>0</v>
      </c>
      <c r="AR4" s="5">
        <f t="shared" si="0"/>
        <v>0</v>
      </c>
      <c r="AV4" s="5">
        <f>P4*E4</f>
        <v>379.57615000000004</v>
      </c>
      <c r="AW4" s="5">
        <f>AV4*C4</f>
        <v>1.9624086955000002</v>
      </c>
      <c r="AX4" s="5">
        <f>C4*E4</f>
        <v>0.14482721000000001</v>
      </c>
      <c r="AY4" s="5">
        <f>AX4/$AW$20*1000000</f>
        <v>380.84345231661774</v>
      </c>
    </row>
    <row r="5" spans="1:51" x14ac:dyDescent="0.25">
      <c r="B5" s="10" t="s">
        <v>179</v>
      </c>
      <c r="C5" s="87">
        <f>'Design Basis'!B7</f>
        <v>1.6199999999999999E-2</v>
      </c>
      <c r="D5" s="10" t="s">
        <v>180</v>
      </c>
      <c r="E5" s="75">
        <v>44.01</v>
      </c>
      <c r="F5" s="75">
        <v>-109.32</v>
      </c>
      <c r="G5" s="10"/>
      <c r="H5" s="77">
        <v>-69.77</v>
      </c>
      <c r="I5" s="77">
        <v>1071</v>
      </c>
      <c r="J5" s="77">
        <v>87.87</v>
      </c>
      <c r="K5" s="76">
        <v>0.99429999999999996</v>
      </c>
      <c r="L5" s="76">
        <v>0.81759999999999999</v>
      </c>
      <c r="M5" s="75">
        <f t="shared" ref="M5:M18" si="1">L5*$M$19</f>
        <v>6.8163311999999996</v>
      </c>
      <c r="N5" s="75">
        <f>E5/M5</f>
        <v>6.4565524632957976</v>
      </c>
      <c r="O5" s="76">
        <v>1.52</v>
      </c>
      <c r="P5" s="76">
        <v>8.6229999999999993</v>
      </c>
      <c r="Q5" s="10">
        <v>0.19900000000000001</v>
      </c>
      <c r="R5" s="10"/>
      <c r="S5" s="10"/>
      <c r="T5" s="10"/>
      <c r="U5" s="10"/>
      <c r="AC5" s="5">
        <f t="shared" si="0"/>
        <v>0.71296199999999998</v>
      </c>
      <c r="AD5" s="5">
        <f t="shared" si="0"/>
        <v>-1.7709839999999999</v>
      </c>
      <c r="AE5" s="5">
        <f t="shared" si="0"/>
        <v>0</v>
      </c>
      <c r="AF5" s="5">
        <f t="shared" si="0"/>
        <v>-1.1302739999999998</v>
      </c>
      <c r="AG5" s="5">
        <f t="shared" si="0"/>
        <v>17.350199999999997</v>
      </c>
      <c r="AH5" s="5">
        <f t="shared" si="0"/>
        <v>1.423494</v>
      </c>
      <c r="AI5" s="5">
        <f t="shared" si="0"/>
        <v>1.6107659999999999E-2</v>
      </c>
      <c r="AJ5" s="5">
        <f t="shared" si="0"/>
        <v>1.3245119999999999E-2</v>
      </c>
      <c r="AK5" s="5">
        <f t="shared" si="0"/>
        <v>0.11042456543999998</v>
      </c>
      <c r="AL5" s="5">
        <f t="shared" si="0"/>
        <v>0.10459614990539191</v>
      </c>
      <c r="AM5" s="5">
        <f t="shared" ref="AM5:AM6" si="2">O5*$C5</f>
        <v>2.4624E-2</v>
      </c>
      <c r="AN5" s="5">
        <f t="shared" si="0"/>
        <v>0.13969259999999997</v>
      </c>
      <c r="AO5" s="5">
        <f t="shared" si="0"/>
        <v>3.2238000000000002E-3</v>
      </c>
      <c r="AP5" s="5">
        <f t="shared" si="0"/>
        <v>0</v>
      </c>
      <c r="AQ5" s="5">
        <f t="shared" si="0"/>
        <v>0</v>
      </c>
      <c r="AR5" s="5">
        <f t="shared" si="0"/>
        <v>0</v>
      </c>
      <c r="AV5" s="5">
        <f t="shared" ref="AV5:AV19" si="3">P5*E5</f>
        <v>379.49822999999998</v>
      </c>
      <c r="AW5" s="5">
        <f t="shared" ref="AW5:AW19" si="4">AV5*C5</f>
        <v>6.1478713259999997</v>
      </c>
      <c r="AX5" s="5">
        <f t="shared" ref="AX5:AX19" si="5">C5*E5</f>
        <v>0.71296199999999998</v>
      </c>
      <c r="AY5" s="5">
        <f t="shared" ref="AY5:AY18" si="6">AX5/$AW$20*1000000</f>
        <v>1874.8335305952548</v>
      </c>
    </row>
    <row r="6" spans="1:51" x14ac:dyDescent="0.25">
      <c r="B6" s="10" t="s">
        <v>181</v>
      </c>
      <c r="C6" s="87">
        <f>'Design Basis'!B8</f>
        <v>2.0000000000000002E-5</v>
      </c>
      <c r="D6" s="10" t="s">
        <v>3</v>
      </c>
      <c r="E6" s="75">
        <v>34.076000000000001</v>
      </c>
      <c r="F6" s="75">
        <v>-76.56</v>
      </c>
      <c r="G6" s="10">
        <v>387.1</v>
      </c>
      <c r="H6" s="77">
        <v>-121.58</v>
      </c>
      <c r="I6" s="77">
        <v>1036</v>
      </c>
      <c r="J6" s="77">
        <v>212.6</v>
      </c>
      <c r="K6" s="76">
        <v>0.99029999999999996</v>
      </c>
      <c r="L6" s="76">
        <v>0.78710000000000002</v>
      </c>
      <c r="M6" s="75">
        <f t="shared" si="1"/>
        <v>6.5620526999999997</v>
      </c>
      <c r="N6" s="75">
        <f>E6/M6</f>
        <v>5.1928872805303747</v>
      </c>
      <c r="O6" s="76">
        <v>1.177</v>
      </c>
      <c r="P6" s="76">
        <v>11.14</v>
      </c>
      <c r="Q6" s="10">
        <v>0.2379</v>
      </c>
      <c r="R6" s="10">
        <v>0.49680000000000002</v>
      </c>
      <c r="S6" s="10">
        <v>637</v>
      </c>
      <c r="T6" s="10"/>
      <c r="U6" s="10"/>
      <c r="AC6" s="5">
        <f t="shared" si="0"/>
        <v>6.8152000000000002E-4</v>
      </c>
      <c r="AD6" s="5">
        <f t="shared" si="0"/>
        <v>-1.5312000000000001E-3</v>
      </c>
      <c r="AE6" s="5">
        <f t="shared" si="0"/>
        <v>7.7420000000000015E-3</v>
      </c>
      <c r="AF6" s="5">
        <f t="shared" si="0"/>
        <v>-2.4316000000000003E-3</v>
      </c>
      <c r="AG6" s="5">
        <f t="shared" si="0"/>
        <v>2.0720000000000002E-2</v>
      </c>
      <c r="AH6" s="5">
        <f t="shared" si="0"/>
        <v>4.2520000000000006E-3</v>
      </c>
      <c r="AI6" s="5">
        <f t="shared" si="0"/>
        <v>1.9806E-5</v>
      </c>
      <c r="AJ6" s="5">
        <f t="shared" si="0"/>
        <v>1.5742000000000003E-5</v>
      </c>
      <c r="AK6" s="5">
        <f t="shared" si="0"/>
        <v>1.3124105400000001E-4</v>
      </c>
      <c r="AL6" s="5">
        <f t="shared" si="0"/>
        <v>1.0385774561060751E-4</v>
      </c>
      <c r="AM6" s="5">
        <f t="shared" si="2"/>
        <v>2.3540000000000002E-5</v>
      </c>
      <c r="AN6" s="5">
        <f t="shared" si="0"/>
        <v>2.2280000000000002E-4</v>
      </c>
      <c r="AO6" s="5">
        <f t="shared" si="0"/>
        <v>4.758E-6</v>
      </c>
      <c r="AP6" s="5">
        <f t="shared" si="0"/>
        <v>9.9360000000000011E-6</v>
      </c>
      <c r="AQ6" s="5">
        <f t="shared" si="0"/>
        <v>1.2740000000000001E-2</v>
      </c>
      <c r="AR6" s="5">
        <f t="shared" si="0"/>
        <v>0</v>
      </c>
      <c r="AV6" s="5">
        <f t="shared" si="3"/>
        <v>379.60664000000003</v>
      </c>
      <c r="AW6" s="5">
        <f t="shared" si="4"/>
        <v>7.5921328000000008E-3</v>
      </c>
      <c r="AX6" s="5">
        <f t="shared" si="5"/>
        <v>6.8152000000000002E-4</v>
      </c>
      <c r="AY6" s="5">
        <f t="shared" si="6"/>
        <v>1.7921523836772202</v>
      </c>
    </row>
    <row r="7" spans="1:51" x14ac:dyDescent="0.25">
      <c r="B7" s="10" t="s">
        <v>182</v>
      </c>
      <c r="C7" s="87">
        <f>'Design Basis'!B9</f>
        <v>0.78068060303845899</v>
      </c>
      <c r="D7" s="10" t="s">
        <v>183</v>
      </c>
      <c r="E7" s="75">
        <v>16.042999999999999</v>
      </c>
      <c r="F7" s="75">
        <v>-258.7</v>
      </c>
      <c r="G7" s="10">
        <v>5000</v>
      </c>
      <c r="H7" s="77">
        <v>-296.5</v>
      </c>
      <c r="I7" s="77">
        <v>667.8</v>
      </c>
      <c r="J7" s="77">
        <v>-116.68</v>
      </c>
      <c r="K7" s="76">
        <v>0.99809999999999999</v>
      </c>
      <c r="L7" s="76">
        <v>0.3</v>
      </c>
      <c r="M7" s="75">
        <f t="shared" si="1"/>
        <v>2.5010999999999997</v>
      </c>
      <c r="N7" s="75">
        <f>E7/M7</f>
        <v>6.4143776738235179</v>
      </c>
      <c r="O7" s="76">
        <v>0.55389999999999995</v>
      </c>
      <c r="P7" s="76">
        <f>13.102/O7</f>
        <v>23.654089185773607</v>
      </c>
      <c r="Q7" s="10">
        <v>0.52659999999999996</v>
      </c>
      <c r="R7" s="10"/>
      <c r="S7" s="10">
        <v>1009.7</v>
      </c>
      <c r="T7" s="10"/>
      <c r="U7" s="10"/>
      <c r="AC7" s="5">
        <f t="shared" si="0"/>
        <v>12.524458914545997</v>
      </c>
      <c r="AD7" s="5">
        <f t="shared" si="0"/>
        <v>-201.96207200604934</v>
      </c>
      <c r="AE7" s="5">
        <f t="shared" si="0"/>
        <v>3903.4030151922948</v>
      </c>
      <c r="AF7" s="5">
        <f t="shared" si="0"/>
        <v>-231.47179880090309</v>
      </c>
      <c r="AG7" s="5">
        <f t="shared" si="0"/>
        <v>521.33850670908282</v>
      </c>
      <c r="AH7" s="5">
        <f t="shared" si="0"/>
        <v>-91.089812762527401</v>
      </c>
      <c r="AI7" s="5">
        <f t="shared" si="0"/>
        <v>0.77919730989268587</v>
      </c>
      <c r="AJ7" s="5">
        <f t="shared" si="0"/>
        <v>0.23420418091153769</v>
      </c>
      <c r="AK7" s="5">
        <f t="shared" si="0"/>
        <v>1.9525602562594895</v>
      </c>
      <c r="AL7" s="5">
        <f t="shared" si="0"/>
        <v>5.0075802305169717</v>
      </c>
      <c r="AM7" s="5">
        <f t="shared" si="0"/>
        <v>0.43241898602300238</v>
      </c>
      <c r="AN7" s="5">
        <f t="shared" si="0"/>
        <v>18.466288609875232</v>
      </c>
      <c r="AO7" s="5">
        <f t="shared" si="0"/>
        <v>0.41110640556005246</v>
      </c>
      <c r="AP7" s="5">
        <f t="shared" si="0"/>
        <v>0</v>
      </c>
      <c r="AQ7" s="5">
        <f t="shared" si="0"/>
        <v>788.25320488793204</v>
      </c>
      <c r="AR7" s="5">
        <f t="shared" si="0"/>
        <v>0</v>
      </c>
      <c r="AV7" s="5">
        <f t="shared" si="3"/>
        <v>379.48255280736595</v>
      </c>
      <c r="AW7" s="5">
        <f t="shared" si="4"/>
        <v>296.25466816822831</v>
      </c>
      <c r="AX7" s="5">
        <f t="shared" si="5"/>
        <v>12.524458914545997</v>
      </c>
      <c r="AY7" s="5">
        <f t="shared" si="6"/>
        <v>32934.820545209266</v>
      </c>
    </row>
    <row r="8" spans="1:51" x14ac:dyDescent="0.25">
      <c r="B8" s="10" t="s">
        <v>184</v>
      </c>
      <c r="C8" s="87">
        <f>'Design Basis'!B10</f>
        <v>9.8900000000000002E-2</v>
      </c>
      <c r="D8" s="10" t="s">
        <v>185</v>
      </c>
      <c r="E8" s="75">
        <v>30.7</v>
      </c>
      <c r="F8" s="75">
        <v>-127.44</v>
      </c>
      <c r="G8" s="10">
        <v>800</v>
      </c>
      <c r="H8" s="77">
        <v>-297.04000000000002</v>
      </c>
      <c r="I8" s="77">
        <v>707.8</v>
      </c>
      <c r="J8" s="77">
        <v>90.1</v>
      </c>
      <c r="K8" s="76">
        <v>0.99609999999999999</v>
      </c>
      <c r="L8" s="76">
        <v>0.35630000000000001</v>
      </c>
      <c r="M8" s="75">
        <f t="shared" si="1"/>
        <v>2.9704731</v>
      </c>
      <c r="N8" s="75">
        <f t="shared" ref="N8:N19" si="7">E8/M8</f>
        <v>10.335054035668595</v>
      </c>
      <c r="O8" s="76">
        <v>1.0382</v>
      </c>
      <c r="P8" s="76">
        <f t="shared" ref="P8:P19" si="8">13.102/O8</f>
        <v>12.619919090733962</v>
      </c>
      <c r="Q8" s="10">
        <v>0.40799999999999997</v>
      </c>
      <c r="R8" s="10">
        <v>0.92559999999999998</v>
      </c>
      <c r="S8" s="10">
        <v>1768</v>
      </c>
      <c r="T8" s="10">
        <v>65889</v>
      </c>
      <c r="U8" s="75">
        <f>N8*C8/0.3795</f>
        <v>2.693377718386361</v>
      </c>
      <c r="AC8" s="5">
        <f t="shared" si="0"/>
        <v>3.0362300000000002</v>
      </c>
      <c r="AD8" s="5">
        <f t="shared" si="0"/>
        <v>-12.603816</v>
      </c>
      <c r="AE8" s="5">
        <f t="shared" si="0"/>
        <v>79.12</v>
      </c>
      <c r="AF8" s="5">
        <f t="shared" si="0"/>
        <v>-29.377256000000003</v>
      </c>
      <c r="AG8" s="5">
        <f t="shared" si="0"/>
        <v>70.001419999999996</v>
      </c>
      <c r="AH8" s="5">
        <f t="shared" si="0"/>
        <v>8.9108900000000002</v>
      </c>
      <c r="AI8" s="5">
        <f t="shared" si="0"/>
        <v>9.8514290000000004E-2</v>
      </c>
      <c r="AJ8" s="5">
        <f t="shared" si="0"/>
        <v>3.5238070000000003E-2</v>
      </c>
      <c r="AK8" s="5">
        <f t="shared" si="0"/>
        <v>0.29377978959000001</v>
      </c>
      <c r="AL8" s="5">
        <f t="shared" si="0"/>
        <v>1.022136844127624</v>
      </c>
      <c r="AM8" s="5">
        <f t="shared" si="0"/>
        <v>0.10267798</v>
      </c>
      <c r="AN8" s="5">
        <f t="shared" si="0"/>
        <v>1.2481099980735888</v>
      </c>
      <c r="AO8" s="5">
        <f t="shared" si="0"/>
        <v>4.0351199999999997E-2</v>
      </c>
      <c r="AP8" s="5">
        <f t="shared" si="0"/>
        <v>9.1541839999999999E-2</v>
      </c>
      <c r="AQ8" s="5">
        <f t="shared" si="0"/>
        <v>174.8552</v>
      </c>
      <c r="AR8" s="5">
        <f t="shared" si="0"/>
        <v>6516.4220999999998</v>
      </c>
      <c r="AV8" s="5">
        <f t="shared" si="3"/>
        <v>387.43151608553262</v>
      </c>
      <c r="AW8" s="5">
        <f t="shared" si="4"/>
        <v>38.316976940859178</v>
      </c>
      <c r="AX8" s="5">
        <f t="shared" si="5"/>
        <v>3.0362300000000002</v>
      </c>
      <c r="AY8" s="5">
        <f t="shared" si="6"/>
        <v>7984.1924402692302</v>
      </c>
    </row>
    <row r="9" spans="1:51" x14ac:dyDescent="0.25">
      <c r="B9" s="10" t="s">
        <v>186</v>
      </c>
      <c r="C9" s="87">
        <f>'Design Basis'!B11</f>
        <v>5.6728247513815354E-2</v>
      </c>
      <c r="D9" s="10" t="s">
        <v>187</v>
      </c>
      <c r="E9" s="75">
        <v>44.097000000000001</v>
      </c>
      <c r="F9" s="75">
        <v>-43.73</v>
      </c>
      <c r="G9" s="10">
        <v>188</v>
      </c>
      <c r="H9" s="77">
        <v>-305.82</v>
      </c>
      <c r="I9" s="77">
        <v>616.29999999999995</v>
      </c>
      <c r="J9" s="77">
        <v>206.1</v>
      </c>
      <c r="K9" s="76">
        <v>0.98080000000000001</v>
      </c>
      <c r="L9" s="76">
        <v>0.50749999999999995</v>
      </c>
      <c r="M9" s="75">
        <f t="shared" si="1"/>
        <v>4.2310274999999997</v>
      </c>
      <c r="N9" s="75">
        <f t="shared" si="7"/>
        <v>10.422291039233379</v>
      </c>
      <c r="O9" s="76">
        <v>1.5225</v>
      </c>
      <c r="P9" s="76">
        <f t="shared" si="8"/>
        <v>8.6055829228243024</v>
      </c>
      <c r="Q9" s="10">
        <v>0.38869999999999999</v>
      </c>
      <c r="R9" s="10">
        <v>0.59019999999999995</v>
      </c>
      <c r="S9" s="10">
        <v>2517</v>
      </c>
      <c r="T9" s="10">
        <v>90962</v>
      </c>
      <c r="U9" s="75">
        <f t="shared" ref="U9:U18" si="9">N9*C9/0.3795</f>
        <v>1.5579401995642976</v>
      </c>
      <c r="AC9" s="5">
        <f t="shared" si="0"/>
        <v>2.5015455306167156</v>
      </c>
      <c r="AD9" s="5">
        <f t="shared" si="0"/>
        <v>-2.4807262637791454</v>
      </c>
      <c r="AE9" s="5">
        <f t="shared" si="0"/>
        <v>10.664910532597286</v>
      </c>
      <c r="AF9" s="5">
        <f t="shared" si="0"/>
        <v>-17.348632654675011</v>
      </c>
      <c r="AG9" s="5">
        <f t="shared" si="0"/>
        <v>34.961618942764403</v>
      </c>
      <c r="AH9" s="5">
        <f t="shared" si="0"/>
        <v>11.691691812597345</v>
      </c>
      <c r="AI9" s="5">
        <f t="shared" si="0"/>
        <v>5.5639065161550101E-2</v>
      </c>
      <c r="AJ9" s="5">
        <f t="shared" si="0"/>
        <v>2.8789585613261288E-2</v>
      </c>
      <c r="AK9" s="5">
        <f t="shared" si="0"/>
        <v>0.24001877525775939</v>
      </c>
      <c r="AL9" s="5">
        <f t="shared" si="0"/>
        <v>0.59123830573465097</v>
      </c>
      <c r="AM9" s="5">
        <f t="shared" si="0"/>
        <v>8.6368756839783872E-2</v>
      </c>
      <c r="AN9" s="5">
        <f t="shared" si="0"/>
        <v>0.48817963804663961</v>
      </c>
      <c r="AO9" s="5">
        <f t="shared" si="0"/>
        <v>2.2050269808620026E-2</v>
      </c>
      <c r="AP9" s="5">
        <f t="shared" si="0"/>
        <v>3.348101168265382E-2</v>
      </c>
      <c r="AQ9" s="5">
        <f t="shared" si="0"/>
        <v>142.78499899227324</v>
      </c>
      <c r="AR9" s="5">
        <f t="shared" si="0"/>
        <v>5160.1148503516724</v>
      </c>
      <c r="AV9" s="5">
        <f t="shared" si="3"/>
        <v>379.48039014778328</v>
      </c>
      <c r="AW9" s="5">
        <f t="shared" si="4"/>
        <v>21.527257498942667</v>
      </c>
      <c r="AX9" s="5">
        <f t="shared" si="5"/>
        <v>2.5015455306167156</v>
      </c>
      <c r="AY9" s="5">
        <f t="shared" si="6"/>
        <v>6578.1646695208401</v>
      </c>
    </row>
    <row r="10" spans="1:51" x14ac:dyDescent="0.25">
      <c r="B10" s="10" t="s">
        <v>188</v>
      </c>
      <c r="C10" s="87">
        <f>'Design Basis'!B12</f>
        <v>9.8111258104631154E-3</v>
      </c>
      <c r="D10" s="10" t="s">
        <v>189</v>
      </c>
      <c r="E10" s="75">
        <v>58.124000000000002</v>
      </c>
      <c r="F10" s="75">
        <v>10.74</v>
      </c>
      <c r="G10" s="10">
        <v>72.39</v>
      </c>
      <c r="H10" s="77">
        <v>-255.28</v>
      </c>
      <c r="I10" s="77">
        <v>529.1</v>
      </c>
      <c r="J10" s="77">
        <v>274.95999999999998</v>
      </c>
      <c r="K10" s="76">
        <v>0.96609999999999996</v>
      </c>
      <c r="L10" s="76">
        <v>0.56299999999999994</v>
      </c>
      <c r="M10" s="75">
        <f t="shared" si="1"/>
        <v>4.6937309999999997</v>
      </c>
      <c r="N10" s="75">
        <f t="shared" si="7"/>
        <v>12.383325759401211</v>
      </c>
      <c r="O10" s="76">
        <v>2.0068000000000001</v>
      </c>
      <c r="P10" s="76">
        <f t="shared" si="8"/>
        <v>6.5288020729519634</v>
      </c>
      <c r="Q10" s="10">
        <v>0.38669999999999999</v>
      </c>
      <c r="R10" s="10">
        <v>0.56599999999999995</v>
      </c>
      <c r="S10" s="10">
        <v>3252</v>
      </c>
      <c r="T10" s="10">
        <v>98968</v>
      </c>
      <c r="U10" s="75">
        <f t="shared" si="9"/>
        <v>0.32014325949257966</v>
      </c>
      <c r="AC10" s="5">
        <f t="shared" si="0"/>
        <v>0.57026187660735816</v>
      </c>
      <c r="AD10" s="5">
        <f t="shared" si="0"/>
        <v>0.10537149120437386</v>
      </c>
      <c r="AE10" s="5">
        <f t="shared" si="0"/>
        <v>0.71022739741942498</v>
      </c>
      <c r="AF10" s="5">
        <f t="shared" si="0"/>
        <v>-2.5045841968950242</v>
      </c>
      <c r="AG10" s="5">
        <f t="shared" si="0"/>
        <v>5.1910666663160345</v>
      </c>
      <c r="AH10" s="5">
        <f t="shared" si="0"/>
        <v>2.6976671528449381</v>
      </c>
      <c r="AI10" s="5">
        <f t="shared" si="0"/>
        <v>9.4785286454884161E-3</v>
      </c>
      <c r="AJ10" s="5">
        <f t="shared" si="0"/>
        <v>5.5236638312907331E-3</v>
      </c>
      <c r="AK10" s="5">
        <f t="shared" si="0"/>
        <v>4.6050785361470843E-2</v>
      </c>
      <c r="AL10" s="5">
        <f t="shared" si="0"/>
        <v>0.12149436697743399</v>
      </c>
      <c r="AM10" s="5">
        <f t="shared" si="0"/>
        <v>1.9688967276437382E-2</v>
      </c>
      <c r="AN10" s="5">
        <f t="shared" si="0"/>
        <v>6.4054898529344095E-2</v>
      </c>
      <c r="AO10" s="5">
        <f t="shared" si="0"/>
        <v>3.7939623509060864E-3</v>
      </c>
      <c r="AP10" s="5">
        <f t="shared" si="0"/>
        <v>5.5530972087221228E-3</v>
      </c>
      <c r="AQ10" s="5">
        <f t="shared" si="0"/>
        <v>31.90578113562605</v>
      </c>
      <c r="AR10" s="5">
        <f t="shared" si="0"/>
        <v>970.98749920991361</v>
      </c>
      <c r="AV10" s="5">
        <f t="shared" si="3"/>
        <v>379.48009168825996</v>
      </c>
      <c r="AW10" s="5">
        <f t="shared" si="4"/>
        <v>3.7231269221195968</v>
      </c>
      <c r="AX10" s="5">
        <f t="shared" si="5"/>
        <v>0.57026187660735816</v>
      </c>
      <c r="AY10" s="5">
        <f t="shared" si="6"/>
        <v>1499.5835507132904</v>
      </c>
    </row>
    <row r="11" spans="1:51" x14ac:dyDescent="0.25">
      <c r="B11" s="10" t="s">
        <v>190</v>
      </c>
      <c r="C11" s="87">
        <f>'Design Basis'!B13</f>
        <v>1.4188959438735479E-2</v>
      </c>
      <c r="D11" s="10" t="s">
        <v>189</v>
      </c>
      <c r="E11" s="75">
        <v>58.124000000000002</v>
      </c>
      <c r="F11" s="75">
        <v>31.12</v>
      </c>
      <c r="G11" s="10">
        <v>51.54</v>
      </c>
      <c r="H11" s="77">
        <v>-217.05</v>
      </c>
      <c r="I11" s="77">
        <v>550.70000000000005</v>
      </c>
      <c r="J11" s="77">
        <v>305.62</v>
      </c>
      <c r="K11" s="76">
        <v>0.93669999999999998</v>
      </c>
      <c r="L11" s="76">
        <v>0.58430000000000004</v>
      </c>
      <c r="M11" s="75">
        <f t="shared" si="1"/>
        <v>4.8713091000000004</v>
      </c>
      <c r="N11" s="75">
        <f t="shared" si="7"/>
        <v>11.931905532334213</v>
      </c>
      <c r="O11" s="76">
        <v>2.0068000000000001</v>
      </c>
      <c r="P11" s="76">
        <f t="shared" si="8"/>
        <v>6.5288020729519634</v>
      </c>
      <c r="Q11" s="10">
        <v>0.39510000000000001</v>
      </c>
      <c r="R11" s="10">
        <v>0.56599999999999995</v>
      </c>
      <c r="S11" s="10">
        <v>3262</v>
      </c>
      <c r="T11" s="10">
        <v>102918</v>
      </c>
      <c r="U11" s="75">
        <f t="shared" si="9"/>
        <v>0.44611679479608329</v>
      </c>
      <c r="AC11" s="5">
        <f t="shared" si="0"/>
        <v>0.82471907841706105</v>
      </c>
      <c r="AD11" s="5">
        <f t="shared" si="0"/>
        <v>0.44156041773344812</v>
      </c>
      <c r="AE11" s="5">
        <f t="shared" si="0"/>
        <v>0.73129896947242656</v>
      </c>
      <c r="AF11" s="5">
        <f t="shared" si="0"/>
        <v>-3.0797136461775358</v>
      </c>
      <c r="AG11" s="5">
        <f t="shared" si="0"/>
        <v>7.8138599629116294</v>
      </c>
      <c r="AH11" s="5">
        <f t="shared" si="0"/>
        <v>4.336429783666337</v>
      </c>
      <c r="AI11" s="5">
        <f t="shared" si="0"/>
        <v>1.3290798306263523E-2</v>
      </c>
      <c r="AJ11" s="5">
        <f t="shared" si="0"/>
        <v>8.2906090000531407E-3</v>
      </c>
      <c r="AK11" s="5">
        <f t="shared" si="0"/>
        <v>6.9118807233443033E-2</v>
      </c>
      <c r="AL11" s="5">
        <f t="shared" si="0"/>
        <v>0.1693013236251136</v>
      </c>
      <c r="AM11" s="5">
        <f t="shared" si="0"/>
        <v>2.8474403801654363E-2</v>
      </c>
      <c r="AN11" s="5">
        <f t="shared" si="0"/>
        <v>9.263690779664753E-2</v>
      </c>
      <c r="AO11" s="5">
        <f t="shared" si="0"/>
        <v>5.606057874244388E-3</v>
      </c>
      <c r="AP11" s="5">
        <f t="shared" si="0"/>
        <v>8.0309510423242809E-3</v>
      </c>
      <c r="AQ11" s="5">
        <f t="shared" si="0"/>
        <v>46.284385689155137</v>
      </c>
      <c r="AR11" s="5">
        <f t="shared" si="0"/>
        <v>1460.299327515778</v>
      </c>
      <c r="AV11" s="5">
        <f t="shared" si="3"/>
        <v>379.48009168825996</v>
      </c>
      <c r="AW11" s="5">
        <f t="shared" si="4"/>
        <v>5.3844276287723414</v>
      </c>
      <c r="AX11" s="5">
        <f t="shared" si="5"/>
        <v>0.82471907841706105</v>
      </c>
      <c r="AY11" s="5">
        <f t="shared" si="6"/>
        <v>2168.7144357454163</v>
      </c>
    </row>
    <row r="12" spans="1:51" x14ac:dyDescent="0.25">
      <c r="B12" s="10" t="s">
        <v>191</v>
      </c>
      <c r="C12" s="87">
        <f>'Design Basis'!B14</f>
        <v>6.1652503186639647E-3</v>
      </c>
      <c r="D12" s="10" t="s">
        <v>192</v>
      </c>
      <c r="E12" s="75">
        <v>72.150999999999996</v>
      </c>
      <c r="F12" s="75">
        <v>82.11</v>
      </c>
      <c r="G12" s="10">
        <v>20.443999999999999</v>
      </c>
      <c r="H12" s="77">
        <v>-255.82</v>
      </c>
      <c r="I12" s="77">
        <v>490.4</v>
      </c>
      <c r="J12" s="77">
        <v>369.03</v>
      </c>
      <c r="K12" s="76">
        <v>0.94799999999999995</v>
      </c>
      <c r="L12" s="76">
        <v>0.62439999999999996</v>
      </c>
      <c r="M12" s="75">
        <f t="shared" si="1"/>
        <v>5.2056227999999996</v>
      </c>
      <c r="N12" s="75">
        <f t="shared" si="7"/>
        <v>13.860205161234502</v>
      </c>
      <c r="O12" s="76">
        <v>2.4910999999999999</v>
      </c>
      <c r="P12" s="76">
        <f t="shared" si="8"/>
        <v>5.2595239051021645</v>
      </c>
      <c r="Q12" s="10">
        <v>0.38290000000000002</v>
      </c>
      <c r="R12" s="10">
        <v>0.5353</v>
      </c>
      <c r="S12" s="10">
        <v>4000</v>
      </c>
      <c r="T12" s="10">
        <v>108722</v>
      </c>
      <c r="U12" s="75">
        <f t="shared" si="9"/>
        <v>0.22516899680381802</v>
      </c>
      <c r="AC12" s="5">
        <f t="shared" si="0"/>
        <v>0.4448289757419237</v>
      </c>
      <c r="AD12" s="5">
        <f t="shared" si="0"/>
        <v>0.5062287036654981</v>
      </c>
      <c r="AE12" s="5">
        <f t="shared" si="0"/>
        <v>0.1260423775147661</v>
      </c>
      <c r="AF12" s="5">
        <f t="shared" si="0"/>
        <v>-1.5771943365206154</v>
      </c>
      <c r="AG12" s="5">
        <f t="shared" si="0"/>
        <v>3.023438756272808</v>
      </c>
      <c r="AH12" s="5">
        <f t="shared" si="0"/>
        <v>2.2751623250965629</v>
      </c>
      <c r="AI12" s="5">
        <f t="shared" si="0"/>
        <v>5.8446573020934384E-3</v>
      </c>
      <c r="AJ12" s="5">
        <f t="shared" si="0"/>
        <v>3.8495822989737792E-3</v>
      </c>
      <c r="AK12" s="5">
        <f t="shared" si="0"/>
        <v>3.2093967626544401E-2</v>
      </c>
      <c r="AL12" s="5">
        <f t="shared" si="0"/>
        <v>8.5451634287048939E-2</v>
      </c>
      <c r="AM12" s="5">
        <f t="shared" si="0"/>
        <v>1.5358255068823802E-2</v>
      </c>
      <c r="AN12" s="5">
        <f t="shared" si="0"/>
        <v>3.2426281431951857E-2</v>
      </c>
      <c r="AO12" s="5">
        <f t="shared" si="0"/>
        <v>2.3606743470164322E-3</v>
      </c>
      <c r="AP12" s="5">
        <f t="shared" si="0"/>
        <v>3.3002584955808202E-3</v>
      </c>
      <c r="AQ12" s="5">
        <f t="shared" si="0"/>
        <v>24.66100127465586</v>
      </c>
      <c r="AR12" s="5">
        <f t="shared" si="0"/>
        <v>670.29834514578363</v>
      </c>
      <c r="AV12" s="5">
        <f t="shared" si="3"/>
        <v>379.47990927702625</v>
      </c>
      <c r="AW12" s="5">
        <f t="shared" si="4"/>
        <v>2.3395886315967585</v>
      </c>
      <c r="AX12" s="5">
        <f t="shared" si="5"/>
        <v>0.4448289757419237</v>
      </c>
      <c r="AY12" s="5">
        <f t="shared" si="6"/>
        <v>1169.7401531937212</v>
      </c>
    </row>
    <row r="13" spans="1:51" x14ac:dyDescent="0.25">
      <c r="B13" s="10" t="s">
        <v>193</v>
      </c>
      <c r="C13" s="87">
        <f>'Design Basis'!B15</f>
        <v>8.6467266405882773E-3</v>
      </c>
      <c r="D13" s="10" t="s">
        <v>192</v>
      </c>
      <c r="E13" s="75">
        <v>72.150999999999996</v>
      </c>
      <c r="F13" s="75">
        <v>96.91</v>
      </c>
      <c r="G13" s="10">
        <v>15.574999999999999</v>
      </c>
      <c r="H13" s="77">
        <v>-201.51</v>
      </c>
      <c r="I13" s="77">
        <v>488.6</v>
      </c>
      <c r="J13" s="77">
        <v>385.6</v>
      </c>
      <c r="K13" s="76">
        <v>0.94199999999999995</v>
      </c>
      <c r="L13" s="76">
        <v>0.63109999999999999</v>
      </c>
      <c r="M13" s="75">
        <f t="shared" si="1"/>
        <v>5.2614806999999999</v>
      </c>
      <c r="N13" s="75">
        <f t="shared" si="7"/>
        <v>13.713059899659044</v>
      </c>
      <c r="O13" s="76">
        <v>2.4910999999999999</v>
      </c>
      <c r="P13" s="76">
        <f t="shared" si="8"/>
        <v>5.2595239051021645</v>
      </c>
      <c r="Q13" s="10">
        <v>0.39900000000000002</v>
      </c>
      <c r="R13" s="10">
        <v>0.54800000000000004</v>
      </c>
      <c r="S13" s="10">
        <v>4008</v>
      </c>
      <c r="T13" s="10">
        <v>110071</v>
      </c>
      <c r="U13" s="75">
        <f t="shared" si="9"/>
        <v>0.31244553454114532</v>
      </c>
      <c r="AC13" s="5">
        <f t="shared" si="0"/>
        <v>0.6238699738450848</v>
      </c>
      <c r="AD13" s="5">
        <f t="shared" si="0"/>
        <v>0.83795427873940997</v>
      </c>
      <c r="AE13" s="5">
        <f t="shared" si="0"/>
        <v>0.13467276742716242</v>
      </c>
      <c r="AF13" s="5">
        <f t="shared" si="0"/>
        <v>-1.7424018853449437</v>
      </c>
      <c r="AG13" s="5">
        <f t="shared" si="0"/>
        <v>4.2247906365914325</v>
      </c>
      <c r="AH13" s="5">
        <f t="shared" si="0"/>
        <v>3.33417779261084</v>
      </c>
      <c r="AI13" s="5">
        <f t="shared" si="0"/>
        <v>8.1452164954341575E-3</v>
      </c>
      <c r="AJ13" s="5">
        <f t="shared" si="0"/>
        <v>5.4569491828752618E-3</v>
      </c>
      <c r="AK13" s="5">
        <f t="shared" si="0"/>
        <v>4.5494585337631059E-2</v>
      </c>
      <c r="AL13" s="5">
        <f t="shared" si="0"/>
        <v>0.11857308035836465</v>
      </c>
      <c r="AM13" s="5">
        <f t="shared" si="0"/>
        <v>2.1539860734369455E-2</v>
      </c>
      <c r="AN13" s="5">
        <f t="shared" si="0"/>
        <v>4.5477665467057775E-2</v>
      </c>
      <c r="AO13" s="5">
        <f t="shared" si="0"/>
        <v>3.4500439295947227E-3</v>
      </c>
      <c r="AP13" s="5">
        <f t="shared" si="0"/>
        <v>4.738406199042376E-3</v>
      </c>
      <c r="AQ13" s="5">
        <f t="shared" si="0"/>
        <v>34.656080375477814</v>
      </c>
      <c r="AR13" s="5">
        <f t="shared" si="0"/>
        <v>951.75384805619228</v>
      </c>
      <c r="AV13" s="5">
        <f t="shared" si="3"/>
        <v>379.47990927702625</v>
      </c>
      <c r="AW13" s="5">
        <f t="shared" si="4"/>
        <v>3.2812590411136853</v>
      </c>
      <c r="AX13" s="5">
        <f t="shared" si="5"/>
        <v>0.6238699738450848</v>
      </c>
      <c r="AY13" s="5">
        <f t="shared" si="6"/>
        <v>1640.5535578282568</v>
      </c>
    </row>
    <row r="14" spans="1:51" x14ac:dyDescent="0.25">
      <c r="B14" s="10" t="s">
        <v>194</v>
      </c>
      <c r="C14" s="87">
        <f>'Design Basis'!B16</f>
        <v>2.3178288985366783E-3</v>
      </c>
      <c r="D14" s="10" t="s">
        <v>195</v>
      </c>
      <c r="E14" s="75">
        <v>86.177999999999997</v>
      </c>
      <c r="F14" s="75">
        <v>155.72999999999999</v>
      </c>
      <c r="G14" s="10">
        <v>4.96</v>
      </c>
      <c r="H14" s="77">
        <v>-139.58000000000001</v>
      </c>
      <c r="I14" s="77">
        <v>710.4</v>
      </c>
      <c r="J14" s="77">
        <v>453.6</v>
      </c>
      <c r="K14" s="76">
        <v>0.91</v>
      </c>
      <c r="L14" s="76">
        <v>0.66400000000000003</v>
      </c>
      <c r="M14" s="75">
        <f t="shared" si="1"/>
        <v>5.535768</v>
      </c>
      <c r="N14" s="75">
        <f t="shared" si="7"/>
        <v>15.567487654829465</v>
      </c>
      <c r="O14" s="76">
        <v>2.9752999999999998</v>
      </c>
      <c r="P14" s="76">
        <f t="shared" si="8"/>
        <v>4.4035895539945553</v>
      </c>
      <c r="Q14" s="10">
        <v>0.38569999999999999</v>
      </c>
      <c r="R14" s="10">
        <v>0.53320000000000001</v>
      </c>
      <c r="S14" s="10">
        <v>4756</v>
      </c>
      <c r="T14" s="10">
        <v>115055</v>
      </c>
      <c r="U14" s="75">
        <f t="shared" si="9"/>
        <v>9.5079770129055899E-2</v>
      </c>
      <c r="AC14" s="5">
        <f t="shared" si="0"/>
        <v>0.19974585881809387</v>
      </c>
      <c r="AD14" s="5">
        <f t="shared" si="0"/>
        <v>0.36095549436911689</v>
      </c>
      <c r="AE14" s="5">
        <f t="shared" si="0"/>
        <v>1.1496431336741924E-2</v>
      </c>
      <c r="AF14" s="5">
        <f t="shared" si="0"/>
        <v>-0.32352255765774957</v>
      </c>
      <c r="AG14" s="5">
        <f t="shared" si="0"/>
        <v>1.6465856495204563</v>
      </c>
      <c r="AH14" s="5">
        <f t="shared" si="0"/>
        <v>1.0513671883762374</v>
      </c>
      <c r="AI14" s="5">
        <f t="shared" si="0"/>
        <v>2.1092242976683772E-3</v>
      </c>
      <c r="AJ14" s="5">
        <f t="shared" si="0"/>
        <v>1.5390383886283545E-3</v>
      </c>
      <c r="AK14" s="5">
        <f t="shared" si="0"/>
        <v>1.2830963045994591E-2</v>
      </c>
      <c r="AL14" s="5">
        <f t="shared" si="0"/>
        <v>3.6082772763976714E-2</v>
      </c>
      <c r="AM14" s="5">
        <f t="shared" si="0"/>
        <v>6.8962363218161788E-3</v>
      </c>
      <c r="AN14" s="5">
        <f t="shared" si="0"/>
        <v>1.0206767125542823E-2</v>
      </c>
      <c r="AO14" s="5">
        <f t="shared" si="0"/>
        <v>8.9398660616559682E-4</v>
      </c>
      <c r="AP14" s="5">
        <f t="shared" si="0"/>
        <v>1.2358663686997569E-3</v>
      </c>
      <c r="AQ14" s="5">
        <f t="shared" si="0"/>
        <v>11.023594241440442</v>
      </c>
      <c r="AR14" s="5">
        <f t="shared" si="0"/>
        <v>266.67780392113752</v>
      </c>
      <c r="AV14" s="5">
        <f t="shared" si="3"/>
        <v>379.49254058414277</v>
      </c>
      <c r="AW14" s="5">
        <f t="shared" si="4"/>
        <v>0.87959877734502934</v>
      </c>
      <c r="AX14" s="5">
        <f t="shared" si="5"/>
        <v>0.19974585881809387</v>
      </c>
      <c r="AY14" s="5">
        <f t="shared" si="6"/>
        <v>525.25973854105587</v>
      </c>
    </row>
    <row r="15" spans="1:51" x14ac:dyDescent="0.25">
      <c r="B15" s="10" t="s">
        <v>196</v>
      </c>
      <c r="C15" s="87">
        <f>'Booster Drwg'!E48/4</f>
        <v>2.9999999999999997E-4</v>
      </c>
      <c r="D15" s="10" t="s">
        <v>197</v>
      </c>
      <c r="E15" s="75">
        <v>78.114000000000004</v>
      </c>
      <c r="F15" s="75">
        <v>176.16</v>
      </c>
      <c r="G15" s="10">
        <v>3.2250000000000001</v>
      </c>
      <c r="H15" s="77">
        <v>41.96</v>
      </c>
      <c r="I15" s="77">
        <v>710.4</v>
      </c>
      <c r="J15" s="77">
        <v>552.22</v>
      </c>
      <c r="K15" s="76">
        <v>0.92900000000000005</v>
      </c>
      <c r="L15" s="76">
        <v>0.88449999999999995</v>
      </c>
      <c r="M15" s="75">
        <f t="shared" si="1"/>
        <v>7.3740764999999993</v>
      </c>
      <c r="N15" s="75">
        <f t="shared" si="7"/>
        <v>10.593055279532292</v>
      </c>
      <c r="O15" s="76">
        <v>2.6968999999999999</v>
      </c>
      <c r="P15" s="76">
        <f t="shared" si="8"/>
        <v>4.8581704920464244</v>
      </c>
      <c r="Q15" s="10">
        <v>0.2422</v>
      </c>
      <c r="R15" s="10">
        <v>0.4098</v>
      </c>
      <c r="S15" s="10">
        <v>3741</v>
      </c>
      <c r="T15" s="10">
        <v>132651</v>
      </c>
      <c r="U15" s="75">
        <f t="shared" si="9"/>
        <v>8.3739567427132729E-3</v>
      </c>
      <c r="AC15" s="5">
        <f t="shared" si="0"/>
        <v>2.3434199999999999E-2</v>
      </c>
      <c r="AD15" s="5">
        <f t="shared" si="0"/>
        <v>5.2847999999999992E-2</v>
      </c>
      <c r="AE15" s="5">
        <f t="shared" si="0"/>
        <v>9.6749999999999994E-4</v>
      </c>
      <c r="AF15" s="5">
        <f t="shared" si="0"/>
        <v>1.2587999999999998E-2</v>
      </c>
      <c r="AG15" s="5">
        <f t="shared" si="0"/>
        <v>0.21311999999999998</v>
      </c>
      <c r="AH15" s="5">
        <f t="shared" si="0"/>
        <v>0.16566599999999998</v>
      </c>
      <c r="AI15" s="5">
        <f t="shared" si="0"/>
        <v>2.787E-4</v>
      </c>
      <c r="AJ15" s="5">
        <f t="shared" si="0"/>
        <v>2.6534999999999997E-4</v>
      </c>
      <c r="AK15" s="5">
        <f t="shared" si="0"/>
        <v>2.2122229499999995E-3</v>
      </c>
      <c r="AL15" s="5">
        <f t="shared" si="0"/>
        <v>3.1779165838596874E-3</v>
      </c>
      <c r="AM15" s="5">
        <f t="shared" si="0"/>
        <v>8.0906999999999984E-4</v>
      </c>
      <c r="AN15" s="5">
        <f t="shared" si="0"/>
        <v>1.4574511476139272E-3</v>
      </c>
      <c r="AO15" s="5">
        <f t="shared" si="0"/>
        <v>7.2659999999999999E-5</v>
      </c>
      <c r="AP15" s="5">
        <f t="shared" si="0"/>
        <v>1.2293999999999999E-4</v>
      </c>
      <c r="AQ15" s="5">
        <f t="shared" si="0"/>
        <v>1.1222999999999999</v>
      </c>
      <c r="AR15" s="5">
        <f t="shared" si="0"/>
        <v>39.795299999999997</v>
      </c>
      <c r="AV15" s="5">
        <f t="shared" si="3"/>
        <v>379.49112981571443</v>
      </c>
      <c r="AW15" s="5">
        <f t="shared" si="4"/>
        <v>0.11384733894471431</v>
      </c>
      <c r="AX15" s="5">
        <f t="shared" si="5"/>
        <v>2.3434199999999999E-2</v>
      </c>
      <c r="AY15" s="5">
        <f t="shared" si="6"/>
        <v>61.623514188239092</v>
      </c>
    </row>
    <row r="16" spans="1:51" x14ac:dyDescent="0.25">
      <c r="B16" s="10" t="s">
        <v>198</v>
      </c>
      <c r="C16" s="87">
        <f>C15</f>
        <v>2.9999999999999997E-4</v>
      </c>
      <c r="D16" s="10" t="s">
        <v>199</v>
      </c>
      <c r="E16" s="75">
        <v>92.141000000000005</v>
      </c>
      <c r="F16" s="75">
        <v>231.13</v>
      </c>
      <c r="G16" s="10">
        <v>1.0029999999999999</v>
      </c>
      <c r="H16" s="77">
        <v>-138.97999999999999</v>
      </c>
      <c r="I16" s="77">
        <v>595.5</v>
      </c>
      <c r="J16" s="77">
        <v>605.57000000000005</v>
      </c>
      <c r="K16" s="76">
        <v>0.90300000000000002</v>
      </c>
      <c r="L16" s="76">
        <v>0.87190000000000001</v>
      </c>
      <c r="M16" s="75">
        <f t="shared" si="1"/>
        <v>7.2690302999999998</v>
      </c>
      <c r="N16" s="75">
        <f t="shared" si="7"/>
        <v>12.675831052733404</v>
      </c>
      <c r="O16" s="76">
        <v>3.1812</v>
      </c>
      <c r="P16" s="76">
        <f t="shared" si="8"/>
        <v>4.118571608198164</v>
      </c>
      <c r="Q16" s="10">
        <v>0.25979999999999998</v>
      </c>
      <c r="R16" s="10">
        <v>0.40089999999999998</v>
      </c>
      <c r="S16" s="10">
        <v>4475</v>
      </c>
      <c r="T16" s="10">
        <v>132659</v>
      </c>
      <c r="U16" s="75">
        <f t="shared" si="9"/>
        <v>1.0020419804532334E-2</v>
      </c>
      <c r="AC16" s="5">
        <f t="shared" si="0"/>
        <v>2.7642299999999998E-2</v>
      </c>
      <c r="AD16" s="5">
        <f t="shared" si="0"/>
        <v>6.9338999999999998E-2</v>
      </c>
      <c r="AE16" s="5">
        <f t="shared" si="0"/>
        <v>3.0089999999999994E-4</v>
      </c>
      <c r="AF16" s="5">
        <f t="shared" si="0"/>
        <v>-4.1693999999999995E-2</v>
      </c>
      <c r="AG16" s="5">
        <f t="shared" si="0"/>
        <v>0.17864999999999998</v>
      </c>
      <c r="AH16" s="5">
        <f t="shared" si="0"/>
        <v>0.181671</v>
      </c>
      <c r="AI16" s="5">
        <f t="shared" si="0"/>
        <v>2.7089999999999997E-4</v>
      </c>
      <c r="AJ16" s="5">
        <f t="shared" si="0"/>
        <v>2.6156999999999998E-4</v>
      </c>
      <c r="AK16" s="5">
        <f t="shared" si="0"/>
        <v>2.1807090899999999E-3</v>
      </c>
      <c r="AL16" s="5">
        <f t="shared" si="0"/>
        <v>3.802749315820021E-3</v>
      </c>
      <c r="AM16" s="5">
        <f t="shared" si="0"/>
        <v>9.5435999999999991E-4</v>
      </c>
      <c r="AN16" s="5">
        <f t="shared" si="0"/>
        <v>1.2355714824594491E-3</v>
      </c>
      <c r="AO16" s="5">
        <f t="shared" si="0"/>
        <v>7.7939999999999989E-5</v>
      </c>
      <c r="AP16" s="5">
        <f t="shared" si="0"/>
        <v>1.2026999999999999E-4</v>
      </c>
      <c r="AQ16" s="5">
        <f t="shared" si="0"/>
        <v>1.3424999999999998</v>
      </c>
      <c r="AR16" s="5">
        <f t="shared" si="0"/>
        <v>39.797699999999999</v>
      </c>
      <c r="AV16" s="5">
        <f t="shared" si="3"/>
        <v>379.48930655098707</v>
      </c>
      <c r="AW16" s="5">
        <f t="shared" si="4"/>
        <v>0.11384679196529611</v>
      </c>
      <c r="AX16" s="5">
        <f t="shared" si="5"/>
        <v>2.7642299999999998E-2</v>
      </c>
      <c r="AY16" s="5">
        <f t="shared" si="6"/>
        <v>72.689303080350996</v>
      </c>
    </row>
    <row r="17" spans="1:51" x14ac:dyDescent="0.25">
      <c r="B17" s="10" t="s">
        <v>200</v>
      </c>
      <c r="C17" s="87">
        <f>C16</f>
        <v>2.9999999999999997E-4</v>
      </c>
      <c r="D17" s="10" t="s">
        <v>201</v>
      </c>
      <c r="E17" s="75">
        <v>106.16800000000001</v>
      </c>
      <c r="F17" s="75">
        <v>277.16000000000003</v>
      </c>
      <c r="G17" s="10">
        <v>0.37159999999999999</v>
      </c>
      <c r="H17" s="77">
        <v>-138.96</v>
      </c>
      <c r="I17" s="77">
        <v>523.4</v>
      </c>
      <c r="J17" s="77">
        <v>651.29</v>
      </c>
      <c r="K17" s="76"/>
      <c r="L17" s="76">
        <v>0.87170000000000003</v>
      </c>
      <c r="M17" s="75">
        <f t="shared" si="1"/>
        <v>7.2673629000000002</v>
      </c>
      <c r="N17" s="75">
        <f t="shared" si="7"/>
        <v>14.608875524848223</v>
      </c>
      <c r="O17" s="76">
        <v>3.6655000000000002</v>
      </c>
      <c r="P17" s="76">
        <f t="shared" si="8"/>
        <v>3.5744100395580412</v>
      </c>
      <c r="Q17" s="10">
        <v>0.27950000000000003</v>
      </c>
      <c r="R17" s="10">
        <v>0.4113</v>
      </c>
      <c r="S17" s="10">
        <v>5222</v>
      </c>
      <c r="T17" s="10">
        <v>134381</v>
      </c>
      <c r="U17" s="75">
        <f t="shared" si="9"/>
        <v>1.1548518201461045E-2</v>
      </c>
      <c r="AC17" s="5">
        <f t="shared" si="0"/>
        <v>3.1850400000000001E-2</v>
      </c>
      <c r="AD17" s="5">
        <f t="shared" si="0"/>
        <v>8.3148E-2</v>
      </c>
      <c r="AE17" s="5">
        <f t="shared" si="0"/>
        <v>1.1147999999999998E-4</v>
      </c>
      <c r="AF17" s="5">
        <f t="shared" si="0"/>
        <v>-4.1687999999999996E-2</v>
      </c>
      <c r="AG17" s="5">
        <f t="shared" si="0"/>
        <v>0.15701999999999999</v>
      </c>
      <c r="AH17" s="5">
        <f t="shared" si="0"/>
        <v>0.19538699999999998</v>
      </c>
      <c r="AI17" s="5">
        <f t="shared" si="0"/>
        <v>0</v>
      </c>
      <c r="AJ17" s="5">
        <f t="shared" si="0"/>
        <v>2.6151000000000001E-4</v>
      </c>
      <c r="AK17" s="5">
        <f t="shared" si="0"/>
        <v>2.1802088699999999E-3</v>
      </c>
      <c r="AL17" s="5">
        <f t="shared" si="0"/>
        <v>4.3826626574544666E-3</v>
      </c>
      <c r="AM17" s="5">
        <f t="shared" si="0"/>
        <v>1.09965E-3</v>
      </c>
      <c r="AN17" s="5">
        <f t="shared" si="0"/>
        <v>1.0723230118674122E-3</v>
      </c>
      <c r="AO17" s="5">
        <f t="shared" si="0"/>
        <v>8.3850000000000005E-5</v>
      </c>
      <c r="AP17" s="5">
        <f t="shared" si="0"/>
        <v>1.2339E-4</v>
      </c>
      <c r="AQ17" s="5">
        <f t="shared" si="0"/>
        <v>1.5665999999999998</v>
      </c>
      <c r="AR17" s="5">
        <f t="shared" si="0"/>
        <v>40.314299999999996</v>
      </c>
      <c r="AV17" s="5">
        <f t="shared" si="3"/>
        <v>379.48796507979813</v>
      </c>
      <c r="AW17" s="5">
        <f t="shared" si="4"/>
        <v>0.11384638952393943</v>
      </c>
      <c r="AX17" s="5">
        <f t="shared" si="5"/>
        <v>3.1850400000000001E-2</v>
      </c>
      <c r="AY17" s="5">
        <f t="shared" si="6"/>
        <v>83.755091972462921</v>
      </c>
    </row>
    <row r="18" spans="1:51" x14ac:dyDescent="0.25">
      <c r="B18" s="10" t="s">
        <v>202</v>
      </c>
      <c r="C18" s="87">
        <f>C17</f>
        <v>2.9999999999999997E-4</v>
      </c>
      <c r="D18" s="10" t="s">
        <v>203</v>
      </c>
      <c r="E18" s="75">
        <v>106.16800000000001</v>
      </c>
      <c r="F18" s="75">
        <v>291.97000000000003</v>
      </c>
      <c r="G18" s="10">
        <v>0.26429999999999998</v>
      </c>
      <c r="H18" s="77">
        <v>-13.32</v>
      </c>
      <c r="I18" s="77">
        <v>541.6</v>
      </c>
      <c r="J18" s="77">
        <v>674.92</v>
      </c>
      <c r="K18" s="76"/>
      <c r="L18" s="76">
        <v>0.88470000000000004</v>
      </c>
      <c r="M18" s="75">
        <f t="shared" si="1"/>
        <v>7.3757438999999998</v>
      </c>
      <c r="N18" s="75">
        <f t="shared" si="7"/>
        <v>14.394209104792807</v>
      </c>
      <c r="O18" s="76">
        <v>3.6655000000000002</v>
      </c>
      <c r="P18" s="76">
        <f t="shared" si="8"/>
        <v>3.5744100395580412</v>
      </c>
      <c r="Q18" s="10">
        <v>0.29139999999999999</v>
      </c>
      <c r="R18" s="10">
        <v>0.41610000000000003</v>
      </c>
      <c r="S18" s="10">
        <v>5209</v>
      </c>
      <c r="T18" s="10">
        <v>136036</v>
      </c>
      <c r="U18" s="75">
        <f t="shared" si="9"/>
        <v>1.1378821426713679E-2</v>
      </c>
      <c r="AC18" s="5">
        <f t="shared" si="0"/>
        <v>3.1850400000000001E-2</v>
      </c>
      <c r="AD18" s="5">
        <f t="shared" si="0"/>
        <v>8.7591000000000002E-2</v>
      </c>
      <c r="AE18" s="5">
        <f t="shared" si="0"/>
        <v>7.9289999999999981E-5</v>
      </c>
      <c r="AF18" s="5">
        <f t="shared" si="0"/>
        <v>-3.9959999999999996E-3</v>
      </c>
      <c r="AG18" s="5">
        <f t="shared" si="0"/>
        <v>0.16247999999999999</v>
      </c>
      <c r="AH18" s="5">
        <f t="shared" si="0"/>
        <v>0.20247599999999996</v>
      </c>
      <c r="AI18" s="5">
        <f t="shared" si="0"/>
        <v>0</v>
      </c>
      <c r="AJ18" s="5">
        <f t="shared" si="0"/>
        <v>2.6540999999999999E-4</v>
      </c>
      <c r="AK18" s="5">
        <f t="shared" si="0"/>
        <v>2.21272317E-3</v>
      </c>
      <c r="AL18" s="5">
        <f t="shared" si="0"/>
        <v>4.3182627314378415E-3</v>
      </c>
      <c r="AM18" s="5">
        <f t="shared" si="0"/>
        <v>1.09965E-3</v>
      </c>
      <c r="AN18" s="5">
        <f t="shared" si="0"/>
        <v>1.0723230118674122E-3</v>
      </c>
      <c r="AO18" s="5">
        <f t="shared" si="0"/>
        <v>8.7419999999999986E-5</v>
      </c>
      <c r="AP18" s="5">
        <f t="shared" si="0"/>
        <v>1.2483000000000001E-4</v>
      </c>
      <c r="AQ18" s="5">
        <f t="shared" si="0"/>
        <v>1.5626999999999998</v>
      </c>
      <c r="AR18" s="5">
        <f t="shared" si="0"/>
        <v>40.810799999999993</v>
      </c>
      <c r="AV18" s="5">
        <f t="shared" si="3"/>
        <v>379.48796507979813</v>
      </c>
      <c r="AW18" s="5">
        <f t="shared" si="4"/>
        <v>0.11384638952393943</v>
      </c>
      <c r="AX18" s="5">
        <f t="shared" si="5"/>
        <v>3.1850400000000001E-2</v>
      </c>
      <c r="AY18" s="5">
        <f t="shared" si="6"/>
        <v>83.755091972462921</v>
      </c>
    </row>
    <row r="19" spans="1:51" x14ac:dyDescent="0.25">
      <c r="B19" s="10" t="s">
        <v>2</v>
      </c>
      <c r="C19" s="87">
        <f>'Design Basis'!B18</f>
        <v>0</v>
      </c>
      <c r="D19" s="10" t="s">
        <v>204</v>
      </c>
      <c r="E19" s="75">
        <v>18.015000000000001</v>
      </c>
      <c r="F19" s="75">
        <v>212</v>
      </c>
      <c r="G19" s="10">
        <v>0.94950000000000001</v>
      </c>
      <c r="H19" s="77">
        <v>32</v>
      </c>
      <c r="I19" s="77">
        <v>3207.9</v>
      </c>
      <c r="J19" s="77">
        <v>705.5</v>
      </c>
      <c r="K19" s="76">
        <v>0.34339999999999998</v>
      </c>
      <c r="L19" s="76">
        <v>1</v>
      </c>
      <c r="M19" s="75">
        <v>8.3369999999999997</v>
      </c>
      <c r="N19" s="75">
        <f t="shared" si="7"/>
        <v>2.1608492263404102</v>
      </c>
      <c r="O19" s="76">
        <v>0.622</v>
      </c>
      <c r="P19" s="76">
        <f t="shared" si="8"/>
        <v>21.064308681672028</v>
      </c>
      <c r="Q19" s="10">
        <v>0.44469999999999998</v>
      </c>
      <c r="R19" s="10">
        <v>1.0009999999999999</v>
      </c>
      <c r="S19" s="10">
        <v>49</v>
      </c>
      <c r="T19" s="10">
        <v>0</v>
      </c>
      <c r="U19" s="75"/>
      <c r="AC19" s="5">
        <f t="shared" si="0"/>
        <v>0</v>
      </c>
      <c r="AD19" s="5">
        <f t="shared" si="0"/>
        <v>0</v>
      </c>
      <c r="AE19" s="5">
        <f t="shared" si="0"/>
        <v>0</v>
      </c>
      <c r="AF19" s="5">
        <f t="shared" si="0"/>
        <v>0</v>
      </c>
      <c r="AG19" s="5">
        <f t="shared" si="0"/>
        <v>0</v>
      </c>
      <c r="AH19" s="5">
        <f t="shared" si="0"/>
        <v>0</v>
      </c>
      <c r="AI19" s="5">
        <f t="shared" si="0"/>
        <v>0</v>
      </c>
      <c r="AJ19" s="5">
        <f t="shared" si="0"/>
        <v>0</v>
      </c>
      <c r="AK19" s="5">
        <f t="shared" si="0"/>
        <v>0</v>
      </c>
      <c r="AL19" s="5">
        <f t="shared" si="0"/>
        <v>0</v>
      </c>
      <c r="AM19" s="5">
        <f t="shared" si="0"/>
        <v>0</v>
      </c>
      <c r="AN19" s="5">
        <f t="shared" si="0"/>
        <v>0</v>
      </c>
      <c r="AO19" s="5">
        <f t="shared" si="0"/>
        <v>0</v>
      </c>
      <c r="AP19" s="5">
        <f t="shared" si="0"/>
        <v>0</v>
      </c>
      <c r="AQ19" s="5">
        <f t="shared" si="0"/>
        <v>0</v>
      </c>
      <c r="AR19" s="5">
        <f>T19*$C19</f>
        <v>0</v>
      </c>
      <c r="AV19" s="5">
        <f t="shared" si="3"/>
        <v>379.4735209003216</v>
      </c>
      <c r="AW19" s="5">
        <f t="shared" si="4"/>
        <v>0</v>
      </c>
      <c r="AX19" s="5">
        <f t="shared" si="5"/>
        <v>0</v>
      </c>
      <c r="AY19" s="5">
        <f>AX19/$AW$20*1000000</f>
        <v>0</v>
      </c>
    </row>
    <row r="20" spans="1:51" x14ac:dyDescent="0.25">
      <c r="B20" s="78" t="s">
        <v>205</v>
      </c>
      <c r="C20" s="90">
        <f>SUM(C4:C19)</f>
        <v>1.0000287416592617</v>
      </c>
      <c r="D20" s="78"/>
      <c r="E20" s="79">
        <f>AC20</f>
        <v>21.698908238592239</v>
      </c>
      <c r="F20" s="79">
        <f t="shared" ref="F20:T20" si="10">AD20</f>
        <v>-217.81133952411659</v>
      </c>
      <c r="G20" s="79">
        <f t="shared" si="10"/>
        <v>3994.9108648380625</v>
      </c>
      <c r="H20" s="79">
        <f t="shared" si="10"/>
        <v>-290.42141967817389</v>
      </c>
      <c r="I20" s="79">
        <f t="shared" si="10"/>
        <v>668.83228732345935</v>
      </c>
      <c r="J20" s="79">
        <f t="shared" si="10"/>
        <v>-55.822539707335139</v>
      </c>
      <c r="K20" s="79">
        <f t="shared" si="10"/>
        <v>0.99406600100118392</v>
      </c>
      <c r="L20" s="79">
        <f t="shared" si="10"/>
        <v>0.34139097922662021</v>
      </c>
      <c r="M20" s="79">
        <f t="shared" si="10"/>
        <v>2.8461765938123325</v>
      </c>
      <c r="N20" s="79">
        <f t="shared" si="10"/>
        <v>7.2937025018902562</v>
      </c>
      <c r="O20" s="79">
        <f t="shared" si="10"/>
        <v>0.74703310606588746</v>
      </c>
      <c r="P20" s="79">
        <f t="shared" si="10"/>
        <v>20.662187334999818</v>
      </c>
      <c r="Q20" s="79">
        <f t="shared" si="10"/>
        <v>0.49444725647659965</v>
      </c>
      <c r="R20" s="79">
        <f t="shared" si="10"/>
        <v>0.1483827969970232</v>
      </c>
      <c r="S20" s="79">
        <f t="shared" si="10"/>
        <v>1260.0310865965607</v>
      </c>
      <c r="T20" s="79">
        <f t="shared" si="10"/>
        <v>16157.271874200476</v>
      </c>
      <c r="U20" s="79">
        <f>SUM(U8:U18)</f>
        <v>5.6915939898887604</v>
      </c>
      <c r="V20" s="66"/>
      <c r="W20" s="66"/>
      <c r="X20" s="66"/>
      <c r="Y20" s="66"/>
      <c r="Z20" s="66"/>
      <c r="AA20" s="66"/>
      <c r="AC20" s="5">
        <f>SUM(AC4:AC19)</f>
        <v>21.698908238592239</v>
      </c>
      <c r="AD20" s="5">
        <f t="shared" ref="AD20:AP20" si="11">SUM(AD4:AD19)</f>
        <v>-217.81133952411659</v>
      </c>
      <c r="AE20" s="5">
        <f t="shared" si="11"/>
        <v>3994.9108648380625</v>
      </c>
      <c r="AF20" s="5">
        <f t="shared" si="11"/>
        <v>-290.42141967817389</v>
      </c>
      <c r="AG20" s="5">
        <f t="shared" si="11"/>
        <v>668.83228732345935</v>
      </c>
      <c r="AH20" s="5">
        <f t="shared" si="11"/>
        <v>-55.822539707335139</v>
      </c>
      <c r="AI20" s="5">
        <f t="shared" si="11"/>
        <v>0.99406600100118392</v>
      </c>
      <c r="AJ20" s="5">
        <f t="shared" si="11"/>
        <v>0.34139097922662021</v>
      </c>
      <c r="AK20" s="5">
        <f t="shared" si="11"/>
        <v>2.8461765938123325</v>
      </c>
      <c r="AL20" s="5">
        <f t="shared" si="11"/>
        <v>7.2937025018902562</v>
      </c>
      <c r="AM20" s="5">
        <f t="shared" si="11"/>
        <v>0.74703310606588746</v>
      </c>
      <c r="AN20" s="5">
        <f t="shared" si="11"/>
        <v>20.662187334999818</v>
      </c>
      <c r="AO20" s="5">
        <f t="shared" si="11"/>
        <v>0.49444725647659965</v>
      </c>
      <c r="AP20" s="5">
        <f t="shared" si="11"/>
        <v>0.1483827969970232</v>
      </c>
      <c r="AQ20" s="5">
        <f>SUM(AQ4:AQ19)</f>
        <v>1260.0310865965607</v>
      </c>
      <c r="AR20" s="5">
        <f>SUM(AR4:AR19)</f>
        <v>16157.271874200476</v>
      </c>
      <c r="AW20" s="5">
        <f>SUM(AW4:AW19)</f>
        <v>380.28016267323551</v>
      </c>
      <c r="AX20" s="5">
        <f>SUM(AX4:AX19)</f>
        <v>21.698908238592239</v>
      </c>
    </row>
    <row r="21" spans="1:51" x14ac:dyDescent="0.25">
      <c r="E21" s="66"/>
      <c r="F21" s="66"/>
      <c r="G21" s="66"/>
      <c r="H21" s="66"/>
      <c r="I21" s="66"/>
      <c r="J21" s="66"/>
      <c r="K21" s="66"/>
      <c r="L21" s="66"/>
      <c r="M21" s="66"/>
      <c r="O21" s="66"/>
      <c r="P21" s="66" t="s">
        <v>19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1:51" x14ac:dyDescent="0.25">
      <c r="A22" s="68" t="s">
        <v>206</v>
      </c>
    </row>
    <row r="23" spans="1:51" x14ac:dyDescent="0.25">
      <c r="C23" s="16" t="s">
        <v>207</v>
      </c>
    </row>
    <row r="24" spans="1:51" x14ac:dyDescent="0.25">
      <c r="C24" s="53" t="s">
        <v>208</v>
      </c>
      <c r="K24" s="49" t="s">
        <v>209</v>
      </c>
      <c r="M24" s="5" t="s">
        <v>210</v>
      </c>
      <c r="N24" s="66">
        <f>1-N38</f>
        <v>0.99985471514241564</v>
      </c>
      <c r="U24" s="76">
        <v>13.547000000000001</v>
      </c>
    </row>
    <row r="25" spans="1:51" x14ac:dyDescent="0.25">
      <c r="B25" s="10" t="s">
        <v>178</v>
      </c>
      <c r="C25" s="87">
        <v>0</v>
      </c>
      <c r="U25" s="76">
        <v>8.6229999999999993</v>
      </c>
      <c r="AB25" s="5">
        <f>C4*C25</f>
        <v>0</v>
      </c>
    </row>
    <row r="26" spans="1:51" x14ac:dyDescent="0.25">
      <c r="B26" s="10" t="s">
        <v>179</v>
      </c>
      <c r="C26" s="87">
        <v>0</v>
      </c>
      <c r="U26" s="76">
        <v>11.135999999999999</v>
      </c>
      <c r="AB26" s="5">
        <f t="shared" ref="AB26:AB40" si="12">C5*C26</f>
        <v>0</v>
      </c>
    </row>
    <row r="27" spans="1:51" x14ac:dyDescent="0.25">
      <c r="B27" s="10" t="s">
        <v>181</v>
      </c>
      <c r="C27" s="87">
        <v>0.05</v>
      </c>
      <c r="AB27" s="5">
        <f t="shared" si="12"/>
        <v>1.0000000000000002E-6</v>
      </c>
    </row>
    <row r="28" spans="1:51" x14ac:dyDescent="0.25">
      <c r="B28" s="10" t="s">
        <v>182</v>
      </c>
      <c r="C28" s="87">
        <v>0</v>
      </c>
      <c r="AB28" s="5">
        <f t="shared" si="12"/>
        <v>0</v>
      </c>
    </row>
    <row r="29" spans="1:51" x14ac:dyDescent="0.25">
      <c r="B29" s="10" t="s">
        <v>184</v>
      </c>
      <c r="C29" s="87">
        <v>0</v>
      </c>
      <c r="AB29" s="5">
        <f t="shared" si="12"/>
        <v>0</v>
      </c>
    </row>
    <row r="30" spans="1:51" x14ac:dyDescent="0.25">
      <c r="B30" s="10" t="s">
        <v>186</v>
      </c>
      <c r="C30" s="87">
        <v>0</v>
      </c>
      <c r="G30" s="49" t="s">
        <v>168</v>
      </c>
      <c r="AB30" s="5">
        <f t="shared" si="12"/>
        <v>0</v>
      </c>
    </row>
    <row r="31" spans="1:51" x14ac:dyDescent="0.25">
      <c r="B31" s="10" t="s">
        <v>188</v>
      </c>
      <c r="C31" s="87">
        <v>2E-3</v>
      </c>
      <c r="AB31" s="5">
        <f t="shared" si="12"/>
        <v>1.9622251620926233E-5</v>
      </c>
    </row>
    <row r="32" spans="1:51" x14ac:dyDescent="0.25">
      <c r="B32" s="10" t="s">
        <v>190</v>
      </c>
      <c r="C32" s="87">
        <v>2E-3</v>
      </c>
      <c r="AB32" s="5">
        <f t="shared" si="12"/>
        <v>2.8377918877470958E-5</v>
      </c>
    </row>
    <row r="33" spans="1:44" x14ac:dyDescent="0.25">
      <c r="B33" s="10" t="s">
        <v>191</v>
      </c>
      <c r="C33" s="87">
        <v>5.0000000000000001E-3</v>
      </c>
      <c r="G33" s="5">
        <f>C20</f>
        <v>1.0000287416592617</v>
      </c>
      <c r="AB33" s="5">
        <f t="shared" si="12"/>
        <v>3.0826251593319826E-5</v>
      </c>
    </row>
    <row r="34" spans="1:44" x14ac:dyDescent="0.25">
      <c r="B34" s="10" t="s">
        <v>193</v>
      </c>
      <c r="C34" s="87">
        <v>5.0000000000000001E-3</v>
      </c>
      <c r="AB34" s="5">
        <f t="shared" si="12"/>
        <v>4.3233633202941385E-5</v>
      </c>
    </row>
    <row r="35" spans="1:44" x14ac:dyDescent="0.25">
      <c r="B35" s="10" t="s">
        <v>194</v>
      </c>
      <c r="C35" s="87">
        <v>7.0000000000000001E-3</v>
      </c>
      <c r="AB35" s="5">
        <f t="shared" si="12"/>
        <v>1.6224802289756747E-5</v>
      </c>
    </row>
    <row r="36" spans="1:44" x14ac:dyDescent="0.25">
      <c r="B36" s="10" t="s">
        <v>196</v>
      </c>
      <c r="C36" s="87">
        <v>5.0000000000000001E-3</v>
      </c>
      <c r="AB36" s="5">
        <f t="shared" si="12"/>
        <v>1.4999999999999998E-6</v>
      </c>
    </row>
    <row r="37" spans="1:44" x14ac:dyDescent="0.25">
      <c r="B37" s="10" t="s">
        <v>198</v>
      </c>
      <c r="C37" s="87">
        <v>5.0000000000000001E-3</v>
      </c>
      <c r="AB37" s="5">
        <f t="shared" si="12"/>
        <v>1.4999999999999998E-6</v>
      </c>
    </row>
    <row r="38" spans="1:44" x14ac:dyDescent="0.25">
      <c r="B38" s="10" t="s">
        <v>200</v>
      </c>
      <c r="C38" s="87">
        <v>5.0000000000000001E-3</v>
      </c>
      <c r="K38" s="49" t="s">
        <v>211</v>
      </c>
      <c r="M38" s="5" t="s">
        <v>212</v>
      </c>
      <c r="N38" s="66">
        <f>AB41</f>
        <v>1.4528485758441518E-4</v>
      </c>
      <c r="AB38" s="5">
        <f t="shared" si="12"/>
        <v>1.4999999999999998E-6</v>
      </c>
    </row>
    <row r="39" spans="1:44" x14ac:dyDescent="0.25">
      <c r="B39" s="10" t="s">
        <v>202</v>
      </c>
      <c r="C39" s="87">
        <v>5.0000000000000001E-3</v>
      </c>
      <c r="AB39" s="5">
        <f t="shared" si="12"/>
        <v>1.4999999999999998E-6</v>
      </c>
    </row>
    <row r="40" spans="1:44" x14ac:dyDescent="0.25">
      <c r="B40" s="10" t="s">
        <v>2</v>
      </c>
      <c r="C40" s="87">
        <v>0.1</v>
      </c>
      <c r="AB40" s="5">
        <f t="shared" si="12"/>
        <v>0</v>
      </c>
    </row>
    <row r="41" spans="1:44" x14ac:dyDescent="0.25">
      <c r="AB41" s="5">
        <f>SUM(AB25:AB40)</f>
        <v>1.4528485758441518E-4</v>
      </c>
    </row>
    <row r="44" spans="1:44" x14ac:dyDescent="0.25">
      <c r="A44" s="68" t="s">
        <v>213</v>
      </c>
    </row>
    <row r="45" spans="1:44" x14ac:dyDescent="0.25">
      <c r="C45" s="80" t="s">
        <v>148</v>
      </c>
      <c r="D45" s="16"/>
      <c r="E45" s="16"/>
      <c r="F45" s="16" t="s">
        <v>149</v>
      </c>
      <c r="G45" s="16" t="s">
        <v>150</v>
      </c>
      <c r="H45" s="16" t="s">
        <v>151</v>
      </c>
      <c r="I45" s="16" t="s">
        <v>152</v>
      </c>
      <c r="J45" s="16" t="s">
        <v>153</v>
      </c>
      <c r="K45" s="16"/>
      <c r="L45" s="299" t="s">
        <v>154</v>
      </c>
      <c r="M45" s="300"/>
      <c r="N45" s="301"/>
      <c r="O45" s="297" t="s">
        <v>155</v>
      </c>
      <c r="P45" s="298"/>
      <c r="Q45" s="16" t="s">
        <v>156</v>
      </c>
      <c r="R45" s="81" t="s">
        <v>157</v>
      </c>
      <c r="S45" s="16" t="s">
        <v>158</v>
      </c>
      <c r="T45" s="81" t="s">
        <v>159</v>
      </c>
      <c r="U45" s="16" t="s">
        <v>160</v>
      </c>
    </row>
    <row r="46" spans="1:44" x14ac:dyDescent="0.25">
      <c r="C46" s="82" t="s">
        <v>161</v>
      </c>
      <c r="D46" s="53" t="s">
        <v>162</v>
      </c>
      <c r="E46" s="53" t="s">
        <v>163</v>
      </c>
      <c r="F46" s="74" t="s">
        <v>164</v>
      </c>
      <c r="G46" s="74" t="s">
        <v>165</v>
      </c>
      <c r="H46" s="53" t="s">
        <v>166</v>
      </c>
      <c r="I46" s="53" t="s">
        <v>167</v>
      </c>
      <c r="J46" s="53" t="s">
        <v>168</v>
      </c>
      <c r="K46" s="53" t="s">
        <v>169</v>
      </c>
      <c r="L46" s="83" t="s">
        <v>170</v>
      </c>
      <c r="M46" s="83" t="s">
        <v>171</v>
      </c>
      <c r="N46" s="84" t="s">
        <v>172</v>
      </c>
      <c r="O46" s="76" t="s">
        <v>170</v>
      </c>
      <c r="P46" s="76" t="s">
        <v>173</v>
      </c>
      <c r="Q46" s="53" t="s">
        <v>174</v>
      </c>
      <c r="R46" s="85" t="s">
        <v>174</v>
      </c>
      <c r="S46" s="53" t="s">
        <v>175</v>
      </c>
      <c r="T46" s="85" t="s">
        <v>176</v>
      </c>
      <c r="U46" s="53" t="s">
        <v>177</v>
      </c>
    </row>
    <row r="47" spans="1:44" x14ac:dyDescent="0.25">
      <c r="B47" s="10" t="s">
        <v>178</v>
      </c>
      <c r="C47" s="98">
        <f>(C4-AB25)/$N$24</f>
        <v>5.1707512318563244E-3</v>
      </c>
      <c r="D47" s="10" t="s">
        <v>5</v>
      </c>
      <c r="E47" s="75">
        <v>28.013000000000002</v>
      </c>
      <c r="F47" s="75">
        <v>-297.33199999999999</v>
      </c>
      <c r="G47" s="10"/>
      <c r="H47" s="77">
        <v>-346</v>
      </c>
      <c r="I47" s="77">
        <v>493</v>
      </c>
      <c r="J47" s="77">
        <v>-232.7</v>
      </c>
      <c r="K47" s="76">
        <v>0.99997000000000003</v>
      </c>
      <c r="L47" s="86">
        <v>0.80940000000000001</v>
      </c>
      <c r="M47" s="84">
        <f>L47*$M$19</f>
        <v>6.7479677999999996</v>
      </c>
      <c r="N47" s="84">
        <f>E47/M47</f>
        <v>4.1513238993226977</v>
      </c>
      <c r="O47" s="76">
        <v>0.96699999999999997</v>
      </c>
      <c r="P47" s="76">
        <v>13.57</v>
      </c>
      <c r="Q47" s="10">
        <v>0.24840000000000001</v>
      </c>
      <c r="R47" s="83"/>
      <c r="S47" s="10"/>
      <c r="T47" s="83"/>
      <c r="U47" s="10"/>
      <c r="AC47" s="5">
        <f t="shared" ref="AC47:AR47" si="13">E47*$C47</f>
        <v>0.14484825425799122</v>
      </c>
      <c r="AD47" s="5">
        <f t="shared" si="13"/>
        <v>-1.5374298052703046</v>
      </c>
      <c r="AE47" s="5">
        <f t="shared" si="13"/>
        <v>0</v>
      </c>
      <c r="AF47" s="5">
        <f t="shared" si="13"/>
        <v>-1.7890799262222883</v>
      </c>
      <c r="AG47" s="5">
        <f t="shared" si="13"/>
        <v>2.5491803573051679</v>
      </c>
      <c r="AH47" s="5">
        <f t="shared" si="13"/>
        <v>-1.2032338116529666</v>
      </c>
      <c r="AI47" s="5">
        <f t="shared" si="13"/>
        <v>5.1705961093193691E-3</v>
      </c>
      <c r="AJ47" s="5">
        <f t="shared" si="13"/>
        <v>4.1852060470645089E-3</v>
      </c>
      <c r="AK47" s="5">
        <f t="shared" si="13"/>
        <v>3.4892062814376811E-2</v>
      </c>
      <c r="AL47" s="5">
        <f t="shared" si="13"/>
        <v>2.1465463166257439E-2</v>
      </c>
      <c r="AM47" s="5">
        <f t="shared" si="13"/>
        <v>5.0001164412050653E-3</v>
      </c>
      <c r="AN47" s="5">
        <f t="shared" si="13"/>
        <v>7.0167094216290318E-2</v>
      </c>
      <c r="AO47" s="5">
        <f t="shared" si="13"/>
        <v>1.2844146059931109E-3</v>
      </c>
      <c r="AP47" s="5">
        <f t="shared" si="13"/>
        <v>0</v>
      </c>
      <c r="AQ47" s="5">
        <f t="shared" si="13"/>
        <v>0</v>
      </c>
      <c r="AR47" s="5">
        <f t="shared" si="13"/>
        <v>0</v>
      </c>
    </row>
    <row r="48" spans="1:44" x14ac:dyDescent="0.25">
      <c r="B48" s="10" t="s">
        <v>179</v>
      </c>
      <c r="C48" s="98">
        <f t="shared" ref="C48:C62" si="14">(C5-AB26)/$N$24</f>
        <v>1.6202353956687128E-2</v>
      </c>
      <c r="D48" s="10" t="s">
        <v>180</v>
      </c>
      <c r="E48" s="75">
        <v>44.01</v>
      </c>
      <c r="F48" s="75">
        <v>-109.32</v>
      </c>
      <c r="G48" s="10"/>
      <c r="H48" s="77">
        <v>-69.77</v>
      </c>
      <c r="I48" s="77">
        <v>1071</v>
      </c>
      <c r="J48" s="77">
        <v>87.87</v>
      </c>
      <c r="K48" s="76">
        <v>0.99429999999999996</v>
      </c>
      <c r="L48" s="86">
        <v>0.81759999999999999</v>
      </c>
      <c r="M48" s="84">
        <f t="shared" ref="M48:M61" si="15">L48*$M$19</f>
        <v>6.8163311999999996</v>
      </c>
      <c r="N48" s="84">
        <f>E48/M48</f>
        <v>6.4565524632957976</v>
      </c>
      <c r="O48" s="76">
        <v>1.52</v>
      </c>
      <c r="P48" s="76">
        <v>8.6229999999999993</v>
      </c>
      <c r="Q48" s="10">
        <v>0.19900000000000001</v>
      </c>
      <c r="R48" s="83"/>
      <c r="S48" s="10"/>
      <c r="T48" s="83"/>
      <c r="U48" s="10"/>
      <c r="AC48" s="5">
        <f t="shared" ref="AC48:AR61" si="16">E48*$C48</f>
        <v>0.71306559763380051</v>
      </c>
      <c r="AD48" s="5">
        <f t="shared" si="16"/>
        <v>-1.7712413345450366</v>
      </c>
      <c r="AE48" s="5">
        <f t="shared" si="16"/>
        <v>0</v>
      </c>
      <c r="AF48" s="5">
        <f t="shared" si="16"/>
        <v>-1.1304382355580609</v>
      </c>
      <c r="AG48" s="5">
        <f t="shared" si="16"/>
        <v>17.352721087611915</v>
      </c>
      <c r="AH48" s="5">
        <f t="shared" si="16"/>
        <v>1.423700842174098</v>
      </c>
      <c r="AI48" s="5">
        <f t="shared" si="16"/>
        <v>1.6110000539134011E-2</v>
      </c>
      <c r="AJ48" s="5">
        <f t="shared" si="16"/>
        <v>1.3247044594987396E-2</v>
      </c>
      <c r="AK48" s="5">
        <f t="shared" si="16"/>
        <v>0.11044061078840992</v>
      </c>
      <c r="AL48" s="5">
        <f t="shared" si="16"/>
        <v>0.10461134835023869</v>
      </c>
      <c r="AM48" s="5">
        <f t="shared" si="16"/>
        <v>2.4627578014164434E-2</v>
      </c>
      <c r="AN48" s="5">
        <f t="shared" si="16"/>
        <v>0.13971289816851309</v>
      </c>
      <c r="AO48" s="5">
        <f t="shared" si="16"/>
        <v>3.2242684373807386E-3</v>
      </c>
      <c r="AP48" s="5">
        <f t="shared" si="16"/>
        <v>0</v>
      </c>
      <c r="AQ48" s="5">
        <f t="shared" si="16"/>
        <v>0</v>
      </c>
      <c r="AR48" s="5">
        <f t="shared" si="16"/>
        <v>0</v>
      </c>
    </row>
    <row r="49" spans="2:44" x14ac:dyDescent="0.25">
      <c r="B49" s="10" t="s">
        <v>181</v>
      </c>
      <c r="C49" s="98">
        <f t="shared" si="14"/>
        <v>1.9002760813398486E-5</v>
      </c>
      <c r="D49" s="10" t="s">
        <v>3</v>
      </c>
      <c r="E49" s="75">
        <v>34.076000000000001</v>
      </c>
      <c r="F49" s="75">
        <v>-76.56</v>
      </c>
      <c r="G49" s="10">
        <v>387.1</v>
      </c>
      <c r="H49" s="77">
        <v>-121.58</v>
      </c>
      <c r="I49" s="77">
        <v>1036</v>
      </c>
      <c r="J49" s="77">
        <v>212.6</v>
      </c>
      <c r="K49" s="76">
        <v>0.99029999999999996</v>
      </c>
      <c r="L49" s="86">
        <v>0.78710000000000002</v>
      </c>
      <c r="M49" s="84">
        <f t="shared" si="15"/>
        <v>6.5620526999999997</v>
      </c>
      <c r="N49" s="84">
        <f>E49/M49</f>
        <v>5.1928872805303747</v>
      </c>
      <c r="O49" s="76">
        <v>1.177</v>
      </c>
      <c r="P49" s="76">
        <v>11.135999999999999</v>
      </c>
      <c r="Q49" s="10">
        <v>0.2379</v>
      </c>
      <c r="R49" s="83">
        <v>0.49680000000000002</v>
      </c>
      <c r="S49" s="10">
        <v>637</v>
      </c>
      <c r="T49" s="83"/>
      <c r="U49" s="10"/>
      <c r="AC49" s="5">
        <f t="shared" si="16"/>
        <v>6.4753807747736688E-4</v>
      </c>
      <c r="AD49" s="5">
        <f t="shared" si="16"/>
        <v>-1.4548513678737881E-3</v>
      </c>
      <c r="AE49" s="5">
        <f t="shared" si="16"/>
        <v>7.355968710866554E-3</v>
      </c>
      <c r="AF49" s="5">
        <f t="shared" si="16"/>
        <v>-2.3103556596929878E-3</v>
      </c>
      <c r="AG49" s="5">
        <f t="shared" si="16"/>
        <v>1.9686860202680831E-2</v>
      </c>
      <c r="AH49" s="5">
        <f t="shared" si="16"/>
        <v>4.039986948928518E-3</v>
      </c>
      <c r="AI49" s="5">
        <f t="shared" si="16"/>
        <v>1.8818434033508521E-5</v>
      </c>
      <c r="AJ49" s="5">
        <f t="shared" si="16"/>
        <v>1.495707303622595E-5</v>
      </c>
      <c r="AK49" s="5">
        <f t="shared" si="16"/>
        <v>1.2469711790301572E-4</v>
      </c>
      <c r="AL49" s="5">
        <f t="shared" si="16"/>
        <v>9.8679194922858041E-5</v>
      </c>
      <c r="AM49" s="5">
        <f t="shared" si="16"/>
        <v>2.2366249477370019E-5</v>
      </c>
      <c r="AN49" s="5">
        <f t="shared" si="16"/>
        <v>2.1161474441800553E-4</v>
      </c>
      <c r="AO49" s="5">
        <f t="shared" si="16"/>
        <v>4.5207567975074996E-6</v>
      </c>
      <c r="AP49" s="5">
        <f t="shared" si="16"/>
        <v>9.4405715720963691E-6</v>
      </c>
      <c r="AQ49" s="5">
        <f t="shared" si="16"/>
        <v>1.2104758638134835E-2</v>
      </c>
      <c r="AR49" s="5">
        <f t="shared" si="16"/>
        <v>0</v>
      </c>
    </row>
    <row r="50" spans="2:44" x14ac:dyDescent="0.25">
      <c r="B50" s="10" t="s">
        <v>182</v>
      </c>
      <c r="C50" s="98">
        <f t="shared" si="14"/>
        <v>0.78079404058944879</v>
      </c>
      <c r="D50" s="10" t="s">
        <v>183</v>
      </c>
      <c r="E50" s="75">
        <v>16.042999999999999</v>
      </c>
      <c r="F50" s="75">
        <v>-258.7</v>
      </c>
      <c r="G50" s="10">
        <v>5000</v>
      </c>
      <c r="H50" s="77">
        <v>-296.5</v>
      </c>
      <c r="I50" s="77">
        <v>667.8</v>
      </c>
      <c r="J50" s="77">
        <v>-116.68</v>
      </c>
      <c r="K50" s="76">
        <v>0.99809999999999999</v>
      </c>
      <c r="L50" s="86">
        <v>0.3</v>
      </c>
      <c r="M50" s="84">
        <f t="shared" si="15"/>
        <v>2.5010999999999997</v>
      </c>
      <c r="N50" s="84">
        <f>E50/M50</f>
        <v>6.4143776738235179</v>
      </c>
      <c r="O50" s="76">
        <v>0.55389999999999995</v>
      </c>
      <c r="P50" s="76">
        <f>13.102/O50</f>
        <v>23.654089185773607</v>
      </c>
      <c r="Q50" s="10">
        <v>0.52659999999999996</v>
      </c>
      <c r="R50" s="83"/>
      <c r="S50" s="10">
        <v>1009.7</v>
      </c>
      <c r="T50" s="83"/>
      <c r="U50" s="10"/>
      <c r="AC50" s="5">
        <f t="shared" si="16"/>
        <v>12.526278793176527</v>
      </c>
      <c r="AD50" s="5">
        <f t="shared" si="16"/>
        <v>-201.99141830049038</v>
      </c>
      <c r="AE50" s="5">
        <f t="shared" si="16"/>
        <v>3903.9702029472442</v>
      </c>
      <c r="AF50" s="5">
        <f t="shared" si="16"/>
        <v>-231.50543303477156</v>
      </c>
      <c r="AG50" s="5">
        <f t="shared" si="16"/>
        <v>521.41426030563389</v>
      </c>
      <c r="AH50" s="5">
        <f t="shared" si="16"/>
        <v>-91.103048655976892</v>
      </c>
      <c r="AI50" s="5">
        <f t="shared" si="16"/>
        <v>0.7793105319123288</v>
      </c>
      <c r="AJ50" s="5">
        <f t="shared" si="16"/>
        <v>0.23423821217683463</v>
      </c>
      <c r="AK50" s="5">
        <f t="shared" si="16"/>
        <v>1.95284397491827</v>
      </c>
      <c r="AL50" s="5">
        <f t="shared" si="16"/>
        <v>5.0083078618114136</v>
      </c>
      <c r="AM50" s="5">
        <f t="shared" si="16"/>
        <v>0.43248181908249567</v>
      </c>
      <c r="AN50" s="5">
        <f t="shared" si="16"/>
        <v>18.46897187182336</v>
      </c>
      <c r="AO50" s="5">
        <f t="shared" si="16"/>
        <v>0.41116614177440369</v>
      </c>
      <c r="AP50" s="5">
        <f t="shared" si="16"/>
        <v>0</v>
      </c>
      <c r="AQ50" s="5">
        <f t="shared" si="16"/>
        <v>788.36774278316648</v>
      </c>
      <c r="AR50" s="5">
        <f t="shared" si="16"/>
        <v>0</v>
      </c>
    </row>
    <row r="51" spans="2:44" x14ac:dyDescent="0.25">
      <c r="B51" s="10" t="s">
        <v>184</v>
      </c>
      <c r="C51" s="98">
        <f t="shared" si="14"/>
        <v>9.891437076026896E-2</v>
      </c>
      <c r="D51" s="10" t="s">
        <v>185</v>
      </c>
      <c r="E51" s="75">
        <v>30.7</v>
      </c>
      <c r="F51" s="75">
        <v>-127.44</v>
      </c>
      <c r="G51" s="10">
        <v>800</v>
      </c>
      <c r="H51" s="77">
        <v>-297.04000000000002</v>
      </c>
      <c r="I51" s="77">
        <v>707.8</v>
      </c>
      <c r="J51" s="77">
        <v>90.1</v>
      </c>
      <c r="K51" s="76">
        <v>0.99609999999999999</v>
      </c>
      <c r="L51" s="86">
        <v>0.35630000000000001</v>
      </c>
      <c r="M51" s="84">
        <f t="shared" si="15"/>
        <v>2.9704731</v>
      </c>
      <c r="N51" s="84">
        <f t="shared" ref="N51:N62" si="17">E51/M51</f>
        <v>10.335054035668595</v>
      </c>
      <c r="O51" s="76">
        <v>1.0382</v>
      </c>
      <c r="P51" s="76">
        <f t="shared" ref="P51:P62" si="18">13.102/O51</f>
        <v>12.619919090733962</v>
      </c>
      <c r="Q51" s="10">
        <v>0.40799999999999997</v>
      </c>
      <c r="R51" s="83">
        <v>0.92559999999999998</v>
      </c>
      <c r="S51" s="10">
        <v>1768</v>
      </c>
      <c r="T51" s="83">
        <v>65889</v>
      </c>
      <c r="U51" s="10">
        <f>N51*C51/0.3795</f>
        <v>2.6937690822438403</v>
      </c>
      <c r="AC51" s="5">
        <f t="shared" si="16"/>
        <v>3.0366711823402568</v>
      </c>
      <c r="AD51" s="5">
        <f t="shared" si="16"/>
        <v>-12.605647409688675</v>
      </c>
      <c r="AE51" s="5">
        <f t="shared" si="16"/>
        <v>79.131496608215173</v>
      </c>
      <c r="AF51" s="5">
        <f t="shared" si="16"/>
        <v>-29.381524690630293</v>
      </c>
      <c r="AG51" s="5">
        <f t="shared" si="16"/>
        <v>70.011591624118367</v>
      </c>
      <c r="AH51" s="5">
        <f t="shared" si="16"/>
        <v>8.9121848055002335</v>
      </c>
      <c r="AI51" s="5">
        <f t="shared" si="16"/>
        <v>9.8528604714303913E-2</v>
      </c>
      <c r="AJ51" s="5">
        <f t="shared" si="16"/>
        <v>3.5243190301883831E-2</v>
      </c>
      <c r="AK51" s="5">
        <f t="shared" si="16"/>
        <v>0.29382247754680552</v>
      </c>
      <c r="AL51" s="5">
        <f t="shared" si="16"/>
        <v>1.0222853667115375</v>
      </c>
      <c r="AM51" s="5">
        <f t="shared" si="16"/>
        <v>0.10269289972331123</v>
      </c>
      <c r="AN51" s="5">
        <f t="shared" si="16"/>
        <v>1.2482913559054554</v>
      </c>
      <c r="AO51" s="5">
        <f t="shared" si="16"/>
        <v>4.035706327018973E-2</v>
      </c>
      <c r="AP51" s="5">
        <f t="shared" si="16"/>
        <v>9.1555141575704949E-2</v>
      </c>
      <c r="AQ51" s="5">
        <f t="shared" si="16"/>
        <v>174.88060750415553</v>
      </c>
      <c r="AR51" s="5">
        <f t="shared" si="16"/>
        <v>6517.3689750233616</v>
      </c>
    </row>
    <row r="52" spans="2:44" x14ac:dyDescent="0.25">
      <c r="B52" s="10" t="s">
        <v>186</v>
      </c>
      <c r="C52" s="98">
        <f t="shared" si="14"/>
        <v>5.6736490466752651E-2</v>
      </c>
      <c r="D52" s="10" t="s">
        <v>187</v>
      </c>
      <c r="E52" s="75">
        <v>44.097000000000001</v>
      </c>
      <c r="F52" s="75">
        <v>-43.73</v>
      </c>
      <c r="G52" s="10">
        <v>188</v>
      </c>
      <c r="H52" s="77">
        <v>-305.82</v>
      </c>
      <c r="I52" s="77">
        <v>616.29999999999995</v>
      </c>
      <c r="J52" s="77">
        <v>206.1</v>
      </c>
      <c r="K52" s="76">
        <v>0.98080000000000001</v>
      </c>
      <c r="L52" s="86">
        <v>0.50749999999999995</v>
      </c>
      <c r="M52" s="84">
        <f t="shared" si="15"/>
        <v>4.2310274999999997</v>
      </c>
      <c r="N52" s="84">
        <f t="shared" si="17"/>
        <v>10.422291039233379</v>
      </c>
      <c r="O52" s="76">
        <v>1.5225</v>
      </c>
      <c r="P52" s="76">
        <f t="shared" si="18"/>
        <v>8.6055829228243024</v>
      </c>
      <c r="Q52" s="10">
        <v>0.38869999999999999</v>
      </c>
      <c r="R52" s="83">
        <v>0.59019999999999995</v>
      </c>
      <c r="S52" s="10">
        <v>2517</v>
      </c>
      <c r="T52" s="83">
        <v>90962</v>
      </c>
      <c r="U52" s="10">
        <f t="shared" ref="U52:U61" si="19">N52*C52/0.3795</f>
        <v>1.5581665775736131</v>
      </c>
      <c r="AC52" s="5">
        <f t="shared" si="16"/>
        <v>2.5019090201123917</v>
      </c>
      <c r="AD52" s="5">
        <f t="shared" si="16"/>
        <v>-2.4810867281110931</v>
      </c>
      <c r="AE52" s="5">
        <f t="shared" si="16"/>
        <v>10.666460207749498</v>
      </c>
      <c r="AF52" s="5">
        <f t="shared" si="16"/>
        <v>-17.351153514542297</v>
      </c>
      <c r="AG52" s="5">
        <f t="shared" si="16"/>
        <v>34.966699074659658</v>
      </c>
      <c r="AH52" s="5">
        <f t="shared" si="16"/>
        <v>11.693390685197722</v>
      </c>
      <c r="AI52" s="5">
        <f t="shared" si="16"/>
        <v>5.5647149849791001E-2</v>
      </c>
      <c r="AJ52" s="5">
        <f t="shared" si="16"/>
        <v>2.8793768911876967E-2</v>
      </c>
      <c r="AK52" s="5">
        <f t="shared" si="16"/>
        <v>0.24005365141831828</v>
      </c>
      <c r="AL52" s="5">
        <f t="shared" si="16"/>
        <v>0.59132421618918618</v>
      </c>
      <c r="AM52" s="5">
        <f t="shared" si="16"/>
        <v>8.6381306735630908E-2</v>
      </c>
      <c r="AN52" s="5">
        <f t="shared" si="16"/>
        <v>0.48825057346167045</v>
      </c>
      <c r="AO52" s="5">
        <f t="shared" si="16"/>
        <v>2.2053473844426755E-2</v>
      </c>
      <c r="AP52" s="5">
        <f t="shared" si="16"/>
        <v>3.348587667347741E-2</v>
      </c>
      <c r="AQ52" s="5">
        <f t="shared" si="16"/>
        <v>142.80574650481643</v>
      </c>
      <c r="AR52" s="5">
        <f t="shared" si="16"/>
        <v>5160.8646458367548</v>
      </c>
    </row>
    <row r="53" spans="2:44" x14ac:dyDescent="0.25">
      <c r="B53" s="10" t="s">
        <v>188</v>
      </c>
      <c r="C53" s="98">
        <f t="shared" si="14"/>
        <v>9.792926322748325E-3</v>
      </c>
      <c r="D53" s="10" t="s">
        <v>189</v>
      </c>
      <c r="E53" s="75">
        <v>58.124000000000002</v>
      </c>
      <c r="F53" s="75">
        <v>10.74</v>
      </c>
      <c r="G53" s="10">
        <v>72.39</v>
      </c>
      <c r="H53" s="77">
        <v>-255.28</v>
      </c>
      <c r="I53" s="77">
        <v>529.1</v>
      </c>
      <c r="J53" s="77">
        <v>274.95999999999998</v>
      </c>
      <c r="K53" s="76">
        <v>0.96609999999999996</v>
      </c>
      <c r="L53" s="86">
        <v>0.56299999999999994</v>
      </c>
      <c r="M53" s="84">
        <f t="shared" si="15"/>
        <v>4.6937309999999997</v>
      </c>
      <c r="N53" s="84">
        <f t="shared" si="17"/>
        <v>12.383325759401211</v>
      </c>
      <c r="O53" s="76">
        <v>2.0068000000000001</v>
      </c>
      <c r="P53" s="76">
        <f t="shared" si="18"/>
        <v>6.5288020729519634</v>
      </c>
      <c r="Q53" s="10">
        <v>0.38669999999999999</v>
      </c>
      <c r="R53" s="83">
        <v>0.56599999999999995</v>
      </c>
      <c r="S53" s="10">
        <v>3252</v>
      </c>
      <c r="T53" s="83">
        <v>98968</v>
      </c>
      <c r="U53" s="10">
        <f t="shared" si="19"/>
        <v>0.3195493986624704</v>
      </c>
      <c r="AC53" s="5">
        <f t="shared" si="16"/>
        <v>0.56920404958342363</v>
      </c>
      <c r="AD53" s="5">
        <f t="shared" si="16"/>
        <v>0.10517602870631701</v>
      </c>
      <c r="AE53" s="5">
        <f t="shared" si="16"/>
        <v>0.70890993650375123</v>
      </c>
      <c r="AF53" s="5">
        <f t="shared" si="16"/>
        <v>-2.4999382316711922</v>
      </c>
      <c r="AG53" s="5">
        <f t="shared" si="16"/>
        <v>5.1814373173661386</v>
      </c>
      <c r="AH53" s="5">
        <f t="shared" si="16"/>
        <v>2.6926630217028791</v>
      </c>
      <c r="AI53" s="5">
        <f t="shared" si="16"/>
        <v>9.4609461204071561E-3</v>
      </c>
      <c r="AJ53" s="5">
        <f t="shared" si="16"/>
        <v>5.5134175197073063E-3</v>
      </c>
      <c r="AK53" s="5">
        <f t="shared" si="16"/>
        <v>4.5965361861799815E-2</v>
      </c>
      <c r="AL53" s="5">
        <f t="shared" si="16"/>
        <v>0.12126899679240752</v>
      </c>
      <c r="AM53" s="5">
        <f t="shared" si="16"/>
        <v>1.9652444544491339E-2</v>
      </c>
      <c r="AN53" s="5">
        <f t="shared" si="16"/>
        <v>6.3936077676225112E-2</v>
      </c>
      <c r="AO53" s="5">
        <f t="shared" si="16"/>
        <v>3.786924609006777E-3</v>
      </c>
      <c r="AP53" s="5">
        <f t="shared" si="16"/>
        <v>5.5427962986755513E-3</v>
      </c>
      <c r="AQ53" s="5">
        <f t="shared" si="16"/>
        <v>31.846596401577553</v>
      </c>
      <c r="AR53" s="5">
        <f t="shared" si="16"/>
        <v>969.18633230975627</v>
      </c>
    </row>
    <row r="54" spans="2:44" x14ac:dyDescent="0.25">
      <c r="B54" s="10" t="s">
        <v>190</v>
      </c>
      <c r="C54" s="98">
        <f t="shared" si="14"/>
        <v>1.4162639136868028E-2</v>
      </c>
      <c r="D54" s="10" t="s">
        <v>189</v>
      </c>
      <c r="E54" s="75">
        <v>58.124000000000002</v>
      </c>
      <c r="F54" s="75">
        <v>31.12</v>
      </c>
      <c r="G54" s="10">
        <v>51.54</v>
      </c>
      <c r="H54" s="77">
        <v>-217.05</v>
      </c>
      <c r="I54" s="77">
        <v>550.70000000000005</v>
      </c>
      <c r="J54" s="77">
        <v>305.62</v>
      </c>
      <c r="K54" s="76">
        <v>0.93669999999999998</v>
      </c>
      <c r="L54" s="86">
        <v>0.58430000000000004</v>
      </c>
      <c r="M54" s="84">
        <f t="shared" si="15"/>
        <v>4.8713091000000004</v>
      </c>
      <c r="N54" s="84">
        <f t="shared" si="17"/>
        <v>11.931905532334213</v>
      </c>
      <c r="O54" s="76">
        <v>2.0068000000000001</v>
      </c>
      <c r="P54" s="76">
        <f t="shared" si="18"/>
        <v>6.5288020729519634</v>
      </c>
      <c r="Q54" s="10">
        <v>0.39510000000000001</v>
      </c>
      <c r="R54" s="83">
        <v>0.56599999999999995</v>
      </c>
      <c r="S54" s="10">
        <v>3262</v>
      </c>
      <c r="T54" s="83">
        <v>102918</v>
      </c>
      <c r="U54" s="10">
        <f t="shared" si="19"/>
        <v>0.44528925499248656</v>
      </c>
      <c r="AC54" s="5">
        <f t="shared" si="16"/>
        <v>0.82318923719131731</v>
      </c>
      <c r="AD54" s="5">
        <f t="shared" si="16"/>
        <v>0.44074132993933307</v>
      </c>
      <c r="AE54" s="5">
        <f t="shared" si="16"/>
        <v>0.72994242111417817</v>
      </c>
      <c r="AF54" s="5">
        <f t="shared" si="16"/>
        <v>-3.0740008246572059</v>
      </c>
      <c r="AG54" s="5">
        <f t="shared" si="16"/>
        <v>7.7993653726732237</v>
      </c>
      <c r="AH54" s="5">
        <f t="shared" si="16"/>
        <v>4.3283857730096074</v>
      </c>
      <c r="AI54" s="5">
        <f t="shared" si="16"/>
        <v>1.3266144079504282E-2</v>
      </c>
      <c r="AJ54" s="5">
        <f t="shared" si="16"/>
        <v>8.2752300476719894E-3</v>
      </c>
      <c r="AK54" s="5">
        <f t="shared" si="16"/>
        <v>6.8990592907441375E-2</v>
      </c>
      <c r="AL54" s="5">
        <f t="shared" si="16"/>
        <v>0.16898727226964866</v>
      </c>
      <c r="AM54" s="5">
        <f t="shared" si="16"/>
        <v>2.842158421986676E-2</v>
      </c>
      <c r="AN54" s="5">
        <f t="shared" si="16"/>
        <v>9.2465067755254593E-2</v>
      </c>
      <c r="AO54" s="5">
        <f t="shared" si="16"/>
        <v>5.5956587229765578E-3</v>
      </c>
      <c r="AP54" s="5">
        <f t="shared" si="16"/>
        <v>8.0160537514673037E-3</v>
      </c>
      <c r="AQ54" s="5">
        <f t="shared" si="16"/>
        <v>46.198528864463512</v>
      </c>
      <c r="AR54" s="5">
        <f t="shared" si="16"/>
        <v>1457.5904946881838</v>
      </c>
    </row>
    <row r="55" spans="2:44" x14ac:dyDescent="0.25">
      <c r="B55" s="10" t="s">
        <v>191</v>
      </c>
      <c r="C55" s="98">
        <f t="shared" si="14"/>
        <v>6.1353154354999266E-3</v>
      </c>
      <c r="D55" s="10" t="s">
        <v>192</v>
      </c>
      <c r="E55" s="75">
        <v>72.150999999999996</v>
      </c>
      <c r="F55" s="75">
        <v>82.11</v>
      </c>
      <c r="G55" s="10">
        <v>20.443999999999999</v>
      </c>
      <c r="H55" s="77">
        <v>-255.82</v>
      </c>
      <c r="I55" s="77">
        <v>490.4</v>
      </c>
      <c r="J55" s="77">
        <v>369.03</v>
      </c>
      <c r="K55" s="76">
        <v>0.94799999999999995</v>
      </c>
      <c r="L55" s="86">
        <v>0.62439999999999996</v>
      </c>
      <c r="M55" s="84">
        <f t="shared" si="15"/>
        <v>5.2056227999999996</v>
      </c>
      <c r="N55" s="84">
        <f t="shared" si="17"/>
        <v>13.860205161234502</v>
      </c>
      <c r="O55" s="76">
        <v>2.4910999999999999</v>
      </c>
      <c r="P55" s="76">
        <f t="shared" si="18"/>
        <v>5.2595239051021645</v>
      </c>
      <c r="Q55" s="10">
        <v>0.38290000000000002</v>
      </c>
      <c r="R55" s="83">
        <v>0.5353</v>
      </c>
      <c r="S55" s="10">
        <v>4000</v>
      </c>
      <c r="T55" s="83">
        <v>108722</v>
      </c>
      <c r="U55" s="10">
        <f t="shared" si="19"/>
        <v>0.22407570662692436</v>
      </c>
      <c r="AC55" s="5">
        <f t="shared" si="16"/>
        <v>0.44266914398675516</v>
      </c>
      <c r="AD55" s="5">
        <f t="shared" si="16"/>
        <v>0.50377075040889896</v>
      </c>
      <c r="AE55" s="5">
        <f t="shared" si="16"/>
        <v>0.12543038876336049</v>
      </c>
      <c r="AF55" s="5">
        <f t="shared" si="16"/>
        <v>-1.5695363947095913</v>
      </c>
      <c r="AG55" s="5">
        <f t="shared" si="16"/>
        <v>3.0087586895691638</v>
      </c>
      <c r="AH55" s="5">
        <f t="shared" si="16"/>
        <v>2.2641154551625378</v>
      </c>
      <c r="AI55" s="5">
        <f t="shared" si="16"/>
        <v>5.8162790328539302E-3</v>
      </c>
      <c r="AJ55" s="5">
        <f t="shared" si="16"/>
        <v>3.8308909579261538E-3</v>
      </c>
      <c r="AK55" s="5">
        <f t="shared" si="16"/>
        <v>3.1938137916230347E-2</v>
      </c>
      <c r="AL55" s="5">
        <f t="shared" si="16"/>
        <v>8.5036730664917792E-2</v>
      </c>
      <c r="AM55" s="5">
        <f t="shared" si="16"/>
        <v>1.5283684281373866E-2</v>
      </c>
      <c r="AN55" s="5">
        <f t="shared" si="16"/>
        <v>3.2268838198354161E-2</v>
      </c>
      <c r="AO55" s="5">
        <f t="shared" si="16"/>
        <v>2.3492122802529218E-3</v>
      </c>
      <c r="AP55" s="5">
        <f t="shared" si="16"/>
        <v>3.2842343526231109E-3</v>
      </c>
      <c r="AQ55" s="5">
        <f t="shared" si="16"/>
        <v>24.541261741999705</v>
      </c>
      <c r="AR55" s="5">
        <f t="shared" si="16"/>
        <v>667.043764778423</v>
      </c>
    </row>
    <row r="56" spans="2:44" x14ac:dyDescent="0.25">
      <c r="B56" s="10" t="s">
        <v>193</v>
      </c>
      <c r="C56" s="98">
        <f t="shared" si="14"/>
        <v>8.6047431462678917E-3</v>
      </c>
      <c r="D56" s="10" t="s">
        <v>192</v>
      </c>
      <c r="E56" s="75">
        <v>72.150999999999996</v>
      </c>
      <c r="F56" s="75">
        <v>96.91</v>
      </c>
      <c r="G56" s="10">
        <v>15.574999999999999</v>
      </c>
      <c r="H56" s="77">
        <v>-201.51</v>
      </c>
      <c r="I56" s="77">
        <v>488.6</v>
      </c>
      <c r="J56" s="77">
        <v>385.6</v>
      </c>
      <c r="K56" s="76">
        <v>0.94199999999999995</v>
      </c>
      <c r="L56" s="86">
        <v>0.63109999999999999</v>
      </c>
      <c r="M56" s="84">
        <f t="shared" si="15"/>
        <v>5.2614806999999999</v>
      </c>
      <c r="N56" s="84">
        <f t="shared" si="17"/>
        <v>13.713059899659044</v>
      </c>
      <c r="O56" s="76">
        <v>2.4910999999999999</v>
      </c>
      <c r="P56" s="76">
        <f t="shared" si="18"/>
        <v>5.2595239051021645</v>
      </c>
      <c r="Q56" s="10">
        <v>0.39900000000000002</v>
      </c>
      <c r="R56" s="83">
        <v>0.54800000000000004</v>
      </c>
      <c r="S56" s="10">
        <v>4008</v>
      </c>
      <c r="T56" s="83">
        <v>110071</v>
      </c>
      <c r="U56" s="10">
        <f t="shared" si="19"/>
        <v>0.3109284800683853</v>
      </c>
      <c r="AC56" s="5">
        <f t="shared" si="16"/>
        <v>0.62084082274637464</v>
      </c>
      <c r="AD56" s="5">
        <f t="shared" si="16"/>
        <v>0.83388565830482131</v>
      </c>
      <c r="AE56" s="5">
        <f t="shared" si="16"/>
        <v>0.13401887450312241</v>
      </c>
      <c r="AF56" s="5">
        <f t="shared" si="16"/>
        <v>-1.7339417914044428</v>
      </c>
      <c r="AG56" s="5">
        <f t="shared" si="16"/>
        <v>4.2042775012664917</v>
      </c>
      <c r="AH56" s="5">
        <f t="shared" si="16"/>
        <v>3.3179889572008991</v>
      </c>
      <c r="AI56" s="5">
        <f t="shared" si="16"/>
        <v>8.1056680437843528E-3</v>
      </c>
      <c r="AJ56" s="5">
        <f t="shared" si="16"/>
        <v>5.4304533996096666E-3</v>
      </c>
      <c r="AK56" s="5">
        <f t="shared" si="16"/>
        <v>4.5273689992545788E-2</v>
      </c>
      <c r="AL56" s="5">
        <f t="shared" si="16"/>
        <v>0.11799735818595222</v>
      </c>
      <c r="AM56" s="5">
        <f t="shared" si="16"/>
        <v>2.1435275651667945E-2</v>
      </c>
      <c r="AN56" s="5">
        <f t="shared" si="16"/>
        <v>4.5256852275059989E-2</v>
      </c>
      <c r="AO56" s="5">
        <f t="shared" si="16"/>
        <v>3.4332925153608891E-3</v>
      </c>
      <c r="AP56" s="5">
        <f t="shared" si="16"/>
        <v>4.7153992441548052E-3</v>
      </c>
      <c r="AQ56" s="5">
        <f t="shared" si="16"/>
        <v>34.48781053024171</v>
      </c>
      <c r="AR56" s="5">
        <f t="shared" si="16"/>
        <v>947.13268285285312</v>
      </c>
    </row>
    <row r="57" spans="2:44" x14ac:dyDescent="0.25">
      <c r="B57" s="10" t="s">
        <v>194</v>
      </c>
      <c r="C57" s="98">
        <f t="shared" si="14"/>
        <v>2.3019385330588647E-3</v>
      </c>
      <c r="D57" s="10" t="s">
        <v>195</v>
      </c>
      <c r="E57" s="75">
        <v>86.177999999999997</v>
      </c>
      <c r="F57" s="75">
        <v>155.72999999999999</v>
      </c>
      <c r="G57" s="10">
        <v>4.96</v>
      </c>
      <c r="H57" s="77">
        <v>-139.58000000000001</v>
      </c>
      <c r="I57" s="77">
        <v>710.4</v>
      </c>
      <c r="J57" s="77">
        <v>453.6</v>
      </c>
      <c r="K57" s="76">
        <v>0.91</v>
      </c>
      <c r="L57" s="86">
        <v>0.66400000000000003</v>
      </c>
      <c r="M57" s="84">
        <f t="shared" si="15"/>
        <v>5.535768</v>
      </c>
      <c r="N57" s="84">
        <f t="shared" si="17"/>
        <v>15.567487654829465</v>
      </c>
      <c r="O57" s="76">
        <v>2.9752999999999998</v>
      </c>
      <c r="P57" s="76">
        <f t="shared" si="18"/>
        <v>4.4035895539945553</v>
      </c>
      <c r="Q57" s="10">
        <v>0.38569999999999999</v>
      </c>
      <c r="R57" s="83">
        <v>0.53320000000000001</v>
      </c>
      <c r="S57" s="10">
        <v>4756</v>
      </c>
      <c r="T57" s="83">
        <v>115055</v>
      </c>
      <c r="U57" s="10">
        <f t="shared" si="19"/>
        <v>9.44279306866143E-2</v>
      </c>
      <c r="AC57" s="5">
        <f t="shared" si="16"/>
        <v>0.19837645890194683</v>
      </c>
      <c r="AD57" s="5">
        <f t="shared" si="16"/>
        <v>0.35848088775325698</v>
      </c>
      <c r="AE57" s="5">
        <f t="shared" si="16"/>
        <v>1.1417615123971969E-2</v>
      </c>
      <c r="AF57" s="5">
        <f t="shared" si="16"/>
        <v>-0.32130458044435639</v>
      </c>
      <c r="AG57" s="5">
        <f t="shared" si="16"/>
        <v>1.6352971338850175</v>
      </c>
      <c r="AH57" s="5">
        <f t="shared" si="16"/>
        <v>1.0441593185955012</v>
      </c>
      <c r="AI57" s="5">
        <f t="shared" si="16"/>
        <v>2.0947640650835668E-3</v>
      </c>
      <c r="AJ57" s="5">
        <f t="shared" si="16"/>
        <v>1.5284871859510864E-3</v>
      </c>
      <c r="AK57" s="5">
        <f t="shared" si="16"/>
        <v>1.2742997669274206E-2</v>
      </c>
      <c r="AL57" s="5">
        <f t="shared" si="16"/>
        <v>3.5835399695570126E-2</v>
      </c>
      <c r="AM57" s="5">
        <f t="shared" si="16"/>
        <v>6.8489577174100395E-3</v>
      </c>
      <c r="AN57" s="5">
        <f t="shared" si="16"/>
        <v>1.0136792478115567E-2</v>
      </c>
      <c r="AO57" s="5">
        <f t="shared" si="16"/>
        <v>8.8785769220080409E-4</v>
      </c>
      <c r="AP57" s="5">
        <f t="shared" si="16"/>
        <v>1.2273936258269866E-3</v>
      </c>
      <c r="AQ57" s="5">
        <f t="shared" si="16"/>
        <v>10.94801966322796</v>
      </c>
      <c r="AR57" s="5">
        <f t="shared" si="16"/>
        <v>264.84953792108769</v>
      </c>
    </row>
    <row r="58" spans="2:44" x14ac:dyDescent="0.25">
      <c r="B58" s="10" t="s">
        <v>196</v>
      </c>
      <c r="C58" s="98">
        <f t="shared" si="14"/>
        <v>2.9854337383154988E-4</v>
      </c>
      <c r="D58" s="10" t="s">
        <v>197</v>
      </c>
      <c r="E58" s="75">
        <v>78.114000000000004</v>
      </c>
      <c r="F58" s="75">
        <v>176.16</v>
      </c>
      <c r="G58" s="10">
        <v>3.2250000000000001</v>
      </c>
      <c r="H58" s="77">
        <v>41.96</v>
      </c>
      <c r="I58" s="77">
        <v>710.4</v>
      </c>
      <c r="J58" s="77">
        <v>552.22</v>
      </c>
      <c r="K58" s="76">
        <v>0.92900000000000005</v>
      </c>
      <c r="L58" s="86">
        <v>0.88449999999999995</v>
      </c>
      <c r="M58" s="84">
        <f t="shared" si="15"/>
        <v>7.3740764999999993</v>
      </c>
      <c r="N58" s="84">
        <f t="shared" si="17"/>
        <v>10.593055279532292</v>
      </c>
      <c r="O58" s="76">
        <v>2.6968999999999999</v>
      </c>
      <c r="P58" s="76">
        <f t="shared" si="18"/>
        <v>4.8581704920464244</v>
      </c>
      <c r="Q58" s="10">
        <v>0.2422</v>
      </c>
      <c r="R58" s="83">
        <v>0.4098</v>
      </c>
      <c r="S58" s="10">
        <v>3741</v>
      </c>
      <c r="T58" s="83">
        <v>132651</v>
      </c>
      <c r="U58" s="10">
        <f t="shared" si="19"/>
        <v>8.3332976609635893E-3</v>
      </c>
      <c r="AC58" s="5">
        <f t="shared" si="16"/>
        <v>2.3320417103477688E-2</v>
      </c>
      <c r="AD58" s="5">
        <f t="shared" si="16"/>
        <v>5.2591400734165829E-2</v>
      </c>
      <c r="AE58" s="5">
        <f t="shared" si="16"/>
        <v>9.6280238060674839E-4</v>
      </c>
      <c r="AF58" s="5">
        <f t="shared" si="16"/>
        <v>1.2526879965971833E-2</v>
      </c>
      <c r="AG58" s="5">
        <f t="shared" si="16"/>
        <v>0.21208521276993303</v>
      </c>
      <c r="AH58" s="5">
        <f t="shared" si="16"/>
        <v>0.16486162189725848</v>
      </c>
      <c r="AI58" s="5">
        <f t="shared" si="16"/>
        <v>2.7734679428950985E-4</v>
      </c>
      <c r="AJ58" s="5">
        <f t="shared" si="16"/>
        <v>2.6406161415400587E-4</v>
      </c>
      <c r="AK58" s="5">
        <f t="shared" si="16"/>
        <v>2.2014816772019468E-3</v>
      </c>
      <c r="AL58" s="5">
        <f t="shared" si="16"/>
        <v>3.1624864623356823E-3</v>
      </c>
      <c r="AM58" s="5">
        <f t="shared" si="16"/>
        <v>8.0514162488630686E-4</v>
      </c>
      <c r="AN58" s="5">
        <f t="shared" si="16"/>
        <v>1.4503746093444203E-3</v>
      </c>
      <c r="AO58" s="5">
        <f t="shared" si="16"/>
        <v>7.2307205142001379E-5</v>
      </c>
      <c r="AP58" s="5">
        <f t="shared" si="16"/>
        <v>1.2234307459616913E-4</v>
      </c>
      <c r="AQ58" s="5">
        <f t="shared" si="16"/>
        <v>1.1168507615038281</v>
      </c>
      <c r="AR58" s="5">
        <f t="shared" si="16"/>
        <v>39.602077082128922</v>
      </c>
    </row>
    <row r="59" spans="2:44" x14ac:dyDescent="0.25">
      <c r="B59" s="10" t="s">
        <v>198</v>
      </c>
      <c r="C59" s="98">
        <f t="shared" si="14"/>
        <v>2.9854337383154988E-4</v>
      </c>
      <c r="D59" s="10" t="s">
        <v>199</v>
      </c>
      <c r="E59" s="75">
        <v>92.141000000000005</v>
      </c>
      <c r="F59" s="75">
        <v>231.13</v>
      </c>
      <c r="G59" s="10">
        <v>1.0029999999999999</v>
      </c>
      <c r="H59" s="77">
        <v>-138.97999999999999</v>
      </c>
      <c r="I59" s="77">
        <v>595.5</v>
      </c>
      <c r="J59" s="77">
        <v>605.57000000000005</v>
      </c>
      <c r="K59" s="76">
        <v>0.90300000000000002</v>
      </c>
      <c r="L59" s="86">
        <v>0.87190000000000001</v>
      </c>
      <c r="M59" s="84">
        <f t="shared" si="15"/>
        <v>7.2690302999999998</v>
      </c>
      <c r="N59" s="84">
        <f t="shared" si="17"/>
        <v>12.675831052733404</v>
      </c>
      <c r="O59" s="76">
        <v>3.1812</v>
      </c>
      <c r="P59" s="76">
        <f t="shared" si="18"/>
        <v>4.118571608198164</v>
      </c>
      <c r="Q59" s="10">
        <v>0.25979999999999998</v>
      </c>
      <c r="R59" s="83">
        <v>0.40089999999999998</v>
      </c>
      <c r="S59" s="10">
        <v>4475</v>
      </c>
      <c r="T59" s="83">
        <v>132659</v>
      </c>
      <c r="U59" s="10">
        <f t="shared" si="19"/>
        <v>9.9717664521785428E-3</v>
      </c>
      <c r="AC59" s="5">
        <f t="shared" si="16"/>
        <v>2.7508085008212838E-2</v>
      </c>
      <c r="AD59" s="5">
        <f t="shared" si="16"/>
        <v>6.9002329993686121E-2</v>
      </c>
      <c r="AE59" s="5">
        <f t="shared" si="16"/>
        <v>2.9943900395304452E-4</v>
      </c>
      <c r="AF59" s="5">
        <f t="shared" si="16"/>
        <v>-4.1491558095108801E-2</v>
      </c>
      <c r="AG59" s="5">
        <f t="shared" si="16"/>
        <v>0.17778257911668796</v>
      </c>
      <c r="AH59" s="5">
        <f t="shared" si="16"/>
        <v>0.18078891089117169</v>
      </c>
      <c r="AI59" s="5">
        <f t="shared" si="16"/>
        <v>2.6958466656988958E-4</v>
      </c>
      <c r="AJ59" s="5">
        <f t="shared" si="16"/>
        <v>2.6029996764372835E-4</v>
      </c>
      <c r="AK59" s="5">
        <f t="shared" si="16"/>
        <v>2.170120830245763E-3</v>
      </c>
      <c r="AL59" s="5">
        <f t="shared" si="16"/>
        <v>3.7842853686017573E-3</v>
      </c>
      <c r="AM59" s="5">
        <f t="shared" si="16"/>
        <v>9.4972618083292645E-4</v>
      </c>
      <c r="AN59" s="5">
        <f t="shared" si="16"/>
        <v>1.2295722632783121E-3</v>
      </c>
      <c r="AO59" s="5">
        <f t="shared" si="16"/>
        <v>7.7561568521436645E-5</v>
      </c>
      <c r="AP59" s="5">
        <f t="shared" si="16"/>
        <v>1.1968603856906834E-4</v>
      </c>
      <c r="AQ59" s="5">
        <f t="shared" si="16"/>
        <v>1.3359815978961858</v>
      </c>
      <c r="AR59" s="5">
        <f t="shared" si="16"/>
        <v>39.604465429119578</v>
      </c>
    </row>
    <row r="60" spans="2:44" x14ac:dyDescent="0.25">
      <c r="B60" s="10" t="s">
        <v>200</v>
      </c>
      <c r="C60" s="98">
        <f t="shared" si="14"/>
        <v>2.9854337383154988E-4</v>
      </c>
      <c r="D60" s="10" t="s">
        <v>201</v>
      </c>
      <c r="E60" s="75">
        <v>106.16800000000001</v>
      </c>
      <c r="F60" s="75">
        <v>277.16000000000003</v>
      </c>
      <c r="G60" s="10">
        <v>0.37159999999999999</v>
      </c>
      <c r="H60" s="77">
        <v>-138.96</v>
      </c>
      <c r="I60" s="77">
        <v>523.4</v>
      </c>
      <c r="J60" s="77">
        <v>651.29</v>
      </c>
      <c r="K60" s="76"/>
      <c r="L60" s="86">
        <v>0.87170000000000003</v>
      </c>
      <c r="M60" s="84">
        <f t="shared" si="15"/>
        <v>7.2673629000000002</v>
      </c>
      <c r="N60" s="84">
        <f t="shared" si="17"/>
        <v>14.608875524848223</v>
      </c>
      <c r="O60" s="76">
        <v>3.6655000000000002</v>
      </c>
      <c r="P60" s="76">
        <f t="shared" si="18"/>
        <v>3.5744100395580412</v>
      </c>
      <c r="Q60" s="10">
        <v>0.27950000000000003</v>
      </c>
      <c r="R60" s="83">
        <v>0.4113</v>
      </c>
      <c r="S60" s="10">
        <v>5222</v>
      </c>
      <c r="T60" s="83">
        <v>134381</v>
      </c>
      <c r="U60" s="10">
        <f t="shared" si="19"/>
        <v>1.1492445288730811E-2</v>
      </c>
      <c r="AC60" s="5">
        <f t="shared" si="16"/>
        <v>3.1695752912947989E-2</v>
      </c>
      <c r="AD60" s="5">
        <f t="shared" si="16"/>
        <v>8.2744281491152372E-2</v>
      </c>
      <c r="AE60" s="5">
        <f t="shared" si="16"/>
        <v>1.1093871771580393E-4</v>
      </c>
      <c r="AF60" s="5">
        <f t="shared" si="16"/>
        <v>-4.1485587227632174E-2</v>
      </c>
      <c r="AG60" s="5">
        <f t="shared" si="16"/>
        <v>0.15625760186343321</v>
      </c>
      <c r="AH60" s="5">
        <f t="shared" si="16"/>
        <v>0.1944383139427501</v>
      </c>
      <c r="AI60" s="5">
        <f t="shared" si="16"/>
        <v>0</v>
      </c>
      <c r="AJ60" s="5">
        <f t="shared" si="16"/>
        <v>2.6024025896896207E-4</v>
      </c>
      <c r="AK60" s="5">
        <f t="shared" si="16"/>
        <v>2.1696230390242364E-3</v>
      </c>
      <c r="AL60" s="5">
        <f t="shared" si="16"/>
        <v>4.3613829870733428E-3</v>
      </c>
      <c r="AM60" s="5">
        <f t="shared" si="16"/>
        <v>1.094310736779546E-3</v>
      </c>
      <c r="AN60" s="5">
        <f t="shared" si="16"/>
        <v>1.0671164326670212E-3</v>
      </c>
      <c r="AO60" s="5">
        <f t="shared" si="16"/>
        <v>8.3442872985918206E-5</v>
      </c>
      <c r="AP60" s="5">
        <f t="shared" si="16"/>
        <v>1.2279088965691648E-4</v>
      </c>
      <c r="AQ60" s="5">
        <f t="shared" si="16"/>
        <v>1.5589934981483535</v>
      </c>
      <c r="AR60" s="5">
        <f t="shared" si="16"/>
        <v>40.118557118857503</v>
      </c>
    </row>
    <row r="61" spans="2:44" x14ac:dyDescent="0.25">
      <c r="B61" s="10" t="s">
        <v>202</v>
      </c>
      <c r="C61" s="98">
        <f t="shared" si="14"/>
        <v>2.9854337383154988E-4</v>
      </c>
      <c r="D61" s="10" t="s">
        <v>203</v>
      </c>
      <c r="E61" s="75">
        <v>106.16800000000001</v>
      </c>
      <c r="F61" s="75">
        <v>291.97000000000003</v>
      </c>
      <c r="G61" s="10">
        <v>0.26429999999999998</v>
      </c>
      <c r="H61" s="77">
        <v>-13.32</v>
      </c>
      <c r="I61" s="77">
        <v>541.6</v>
      </c>
      <c r="J61" s="77">
        <v>674.92</v>
      </c>
      <c r="K61" s="76"/>
      <c r="L61" s="86">
        <v>0.88470000000000004</v>
      </c>
      <c r="M61" s="84">
        <f t="shared" si="15"/>
        <v>7.3757438999999998</v>
      </c>
      <c r="N61" s="84">
        <f t="shared" si="17"/>
        <v>14.394209104792807</v>
      </c>
      <c r="O61" s="76">
        <v>3.6655000000000002</v>
      </c>
      <c r="P61" s="76">
        <f t="shared" si="18"/>
        <v>3.5744100395580412</v>
      </c>
      <c r="Q61" s="10">
        <v>0.29139999999999999</v>
      </c>
      <c r="R61" s="83">
        <v>0.41610000000000003</v>
      </c>
      <c r="S61" s="10">
        <v>5209</v>
      </c>
      <c r="T61" s="83">
        <v>136036</v>
      </c>
      <c r="U61" s="10">
        <f t="shared" si="19"/>
        <v>1.1323572463192775E-2</v>
      </c>
      <c r="AC61" s="5">
        <f t="shared" si="16"/>
        <v>3.1695752912947989E-2</v>
      </c>
      <c r="AD61" s="5">
        <f t="shared" si="16"/>
        <v>8.7165708857597626E-2</v>
      </c>
      <c r="AE61" s="5">
        <f t="shared" si="16"/>
        <v>7.8905013703678631E-5</v>
      </c>
      <c r="AF61" s="5">
        <f t="shared" si="16"/>
        <v>-3.9765977394362441E-3</v>
      </c>
      <c r="AG61" s="5">
        <f t="shared" si="16"/>
        <v>0.16169109126716744</v>
      </c>
      <c r="AH61" s="5">
        <f t="shared" si="16"/>
        <v>0.20149289386638963</v>
      </c>
      <c r="AI61" s="5">
        <f t="shared" si="16"/>
        <v>0</v>
      </c>
      <c r="AJ61" s="5">
        <f t="shared" si="16"/>
        <v>2.6412132282877221E-4</v>
      </c>
      <c r="AK61" s="5">
        <f t="shared" si="16"/>
        <v>2.2019794684234738E-3</v>
      </c>
      <c r="AL61" s="5">
        <f t="shared" si="16"/>
        <v>4.2972957497816582E-3</v>
      </c>
      <c r="AM61" s="5">
        <f t="shared" si="16"/>
        <v>1.094310736779546E-3</v>
      </c>
      <c r="AN61" s="5">
        <f t="shared" si="16"/>
        <v>1.0671164326670212E-3</v>
      </c>
      <c r="AO61" s="5">
        <f t="shared" si="16"/>
        <v>8.6995539134513634E-5</v>
      </c>
      <c r="AP61" s="5">
        <f t="shared" si="16"/>
        <v>1.2422389785130792E-4</v>
      </c>
      <c r="AQ61" s="5">
        <f t="shared" si="16"/>
        <v>1.5551124342885434</v>
      </c>
      <c r="AR61" s="5">
        <f t="shared" si="16"/>
        <v>40.612646402548719</v>
      </c>
    </row>
    <row r="62" spans="2:44" x14ac:dyDescent="0.25">
      <c r="B62" s="10" t="s">
        <v>2</v>
      </c>
      <c r="C62" s="98">
        <f t="shared" si="14"/>
        <v>0</v>
      </c>
      <c r="D62" s="10" t="s">
        <v>204</v>
      </c>
      <c r="E62" s="75">
        <v>18.015000000000001</v>
      </c>
      <c r="F62" s="75">
        <v>212</v>
      </c>
      <c r="G62" s="10">
        <v>0.94950000000000001</v>
      </c>
      <c r="H62" s="77">
        <v>32</v>
      </c>
      <c r="I62" s="77">
        <v>3207.9</v>
      </c>
      <c r="J62" s="77">
        <v>705.5</v>
      </c>
      <c r="K62" s="76">
        <v>0.34339999999999998</v>
      </c>
      <c r="L62" s="86">
        <v>1</v>
      </c>
      <c r="M62" s="84">
        <v>8.3369999999999997</v>
      </c>
      <c r="N62" s="84">
        <f t="shared" si="17"/>
        <v>2.1608492263404102</v>
      </c>
      <c r="O62" s="76">
        <v>0.622</v>
      </c>
      <c r="P62" s="76">
        <f t="shared" si="18"/>
        <v>21.064308681672028</v>
      </c>
      <c r="Q62" s="10">
        <v>0.44469999999999998</v>
      </c>
      <c r="R62" s="83">
        <v>1.0009999999999999</v>
      </c>
      <c r="S62" s="10">
        <v>49</v>
      </c>
      <c r="T62" s="83">
        <v>0</v>
      </c>
      <c r="U62" s="10"/>
      <c r="AC62" s="5">
        <f t="shared" ref="AC62:AR62" si="20">E62*$C62</f>
        <v>0</v>
      </c>
      <c r="AD62" s="5">
        <f t="shared" si="20"/>
        <v>0</v>
      </c>
      <c r="AE62" s="5">
        <f t="shared" si="20"/>
        <v>0</v>
      </c>
      <c r="AF62" s="5">
        <f t="shared" si="20"/>
        <v>0</v>
      </c>
      <c r="AG62" s="5">
        <f t="shared" si="20"/>
        <v>0</v>
      </c>
      <c r="AH62" s="5">
        <f t="shared" si="20"/>
        <v>0</v>
      </c>
      <c r="AI62" s="5">
        <f t="shared" si="20"/>
        <v>0</v>
      </c>
      <c r="AJ62" s="5">
        <f t="shared" si="20"/>
        <v>0</v>
      </c>
      <c r="AK62" s="5">
        <f t="shared" si="20"/>
        <v>0</v>
      </c>
      <c r="AL62" s="5">
        <f t="shared" si="20"/>
        <v>0</v>
      </c>
      <c r="AM62" s="5">
        <f t="shared" si="20"/>
        <v>0</v>
      </c>
      <c r="AN62" s="5">
        <f t="shared" si="20"/>
        <v>0</v>
      </c>
      <c r="AO62" s="5">
        <f t="shared" si="20"/>
        <v>0</v>
      </c>
      <c r="AP62" s="5">
        <f t="shared" si="20"/>
        <v>0</v>
      </c>
      <c r="AQ62" s="5">
        <f t="shared" si="20"/>
        <v>0</v>
      </c>
      <c r="AR62" s="5">
        <f t="shared" si="20"/>
        <v>0</v>
      </c>
    </row>
    <row r="63" spans="2:44" x14ac:dyDescent="0.25">
      <c r="B63" s="10" t="s">
        <v>205</v>
      </c>
      <c r="C63" s="98">
        <f>SUM(C47:C62)</f>
        <v>1.0000287458355963</v>
      </c>
      <c r="D63" s="10"/>
      <c r="E63" s="75">
        <f>AC63</f>
        <v>21.691920105945851</v>
      </c>
      <c r="F63" s="75">
        <f t="shared" ref="F63:T63" si="21">AD63</f>
        <v>-217.85472005328413</v>
      </c>
      <c r="G63" s="75">
        <f t="shared" si="21"/>
        <v>3995.4866870530436</v>
      </c>
      <c r="H63" s="75">
        <f t="shared" si="21"/>
        <v>-290.43308844336724</v>
      </c>
      <c r="I63" s="75">
        <f t="shared" si="21"/>
        <v>668.85109180930885</v>
      </c>
      <c r="J63" s="75">
        <f t="shared" si="21"/>
        <v>-55.884071881539874</v>
      </c>
      <c r="K63" s="75">
        <f t="shared" si="21"/>
        <v>0.99407643436140336</v>
      </c>
      <c r="L63" s="84">
        <f t="shared" si="21"/>
        <v>0.34134958138014526</v>
      </c>
      <c r="M63" s="84">
        <f t="shared" si="21"/>
        <v>2.8458314599662708</v>
      </c>
      <c r="N63" s="84">
        <f t="shared" si="21"/>
        <v>7.2928241435998453</v>
      </c>
      <c r="O63" s="75">
        <f t="shared" si="21"/>
        <v>0.7467915219403729</v>
      </c>
      <c r="P63" s="75">
        <f t="shared" si="21"/>
        <v>20.664483216440676</v>
      </c>
      <c r="Q63" s="75">
        <f t="shared" si="21"/>
        <v>0.49446313569477329</v>
      </c>
      <c r="R63" s="84">
        <f t="shared" si="21"/>
        <v>0.14832537999417567</v>
      </c>
      <c r="S63" s="75">
        <f t="shared" si="21"/>
        <v>1259.6553570441235</v>
      </c>
      <c r="T63" s="84">
        <f t="shared" si="21"/>
        <v>16143.974179443076</v>
      </c>
      <c r="U63" s="75">
        <f>SUM(U51:U61)</f>
        <v>5.6873275127194001</v>
      </c>
      <c r="V63" s="66"/>
      <c r="W63" s="66"/>
      <c r="X63" s="66"/>
      <c r="Y63" s="66"/>
      <c r="Z63" s="66"/>
      <c r="AA63" s="66"/>
      <c r="AC63" s="5">
        <f>SUM(AC47:AC62)</f>
        <v>21.691920105945851</v>
      </c>
      <c r="AD63" s="5">
        <f t="shared" ref="AD63:AR63" si="22">SUM(AD47:AD62)</f>
        <v>-217.85472005328413</v>
      </c>
      <c r="AE63" s="5">
        <f t="shared" si="22"/>
        <v>3995.4866870530436</v>
      </c>
      <c r="AF63" s="5">
        <f t="shared" si="22"/>
        <v>-290.43308844336724</v>
      </c>
      <c r="AG63" s="5">
        <f t="shared" si="22"/>
        <v>668.85109180930885</v>
      </c>
      <c r="AH63" s="5">
        <f t="shared" si="22"/>
        <v>-55.884071881539874</v>
      </c>
      <c r="AI63" s="5">
        <f t="shared" si="22"/>
        <v>0.99407643436140336</v>
      </c>
      <c r="AJ63" s="5">
        <f t="shared" si="22"/>
        <v>0.34134958138014526</v>
      </c>
      <c r="AK63" s="5">
        <f t="shared" si="22"/>
        <v>2.8458314599662708</v>
      </c>
      <c r="AL63" s="5">
        <f t="shared" si="22"/>
        <v>7.2928241435998453</v>
      </c>
      <c r="AM63" s="5">
        <f t="shared" si="22"/>
        <v>0.7467915219403729</v>
      </c>
      <c r="AN63" s="5">
        <f t="shared" si="22"/>
        <v>20.664483216440676</v>
      </c>
      <c r="AO63" s="5">
        <f t="shared" si="22"/>
        <v>0.49446313569477329</v>
      </c>
      <c r="AP63" s="5">
        <f t="shared" si="22"/>
        <v>0.14832537999417567</v>
      </c>
      <c r="AQ63" s="5">
        <f t="shared" si="22"/>
        <v>1259.6553570441235</v>
      </c>
      <c r="AR63" s="5">
        <f t="shared" si="22"/>
        <v>16143.974179443076</v>
      </c>
    </row>
    <row r="65" spans="1:44" x14ac:dyDescent="0.25">
      <c r="A65" s="68" t="s">
        <v>214</v>
      </c>
    </row>
    <row r="66" spans="1:44" x14ac:dyDescent="0.25">
      <c r="C66" s="16" t="s">
        <v>148</v>
      </c>
      <c r="D66" s="16"/>
      <c r="E66" s="16"/>
      <c r="F66" s="16" t="s">
        <v>149</v>
      </c>
      <c r="G66" s="16" t="s">
        <v>150</v>
      </c>
      <c r="H66" s="16" t="s">
        <v>151</v>
      </c>
      <c r="I66" s="16" t="s">
        <v>152</v>
      </c>
      <c r="J66" s="16" t="s">
        <v>153</v>
      </c>
      <c r="K66" s="16"/>
      <c r="L66" s="294" t="s">
        <v>154</v>
      </c>
      <c r="M66" s="295"/>
      <c r="N66" s="296"/>
      <c r="O66" s="302" t="s">
        <v>155</v>
      </c>
      <c r="P66" s="303"/>
      <c r="Q66" s="81" t="s">
        <v>156</v>
      </c>
      <c r="R66" s="16" t="s">
        <v>157</v>
      </c>
      <c r="S66" s="81" t="s">
        <v>158</v>
      </c>
      <c r="T66" s="16" t="s">
        <v>159</v>
      </c>
      <c r="U66" s="81" t="s">
        <v>160</v>
      </c>
    </row>
    <row r="67" spans="1:44" x14ac:dyDescent="0.25">
      <c r="C67" s="53" t="s">
        <v>161</v>
      </c>
      <c r="D67" s="53" t="s">
        <v>162</v>
      </c>
      <c r="E67" s="53" t="s">
        <v>163</v>
      </c>
      <c r="F67" s="74" t="s">
        <v>164</v>
      </c>
      <c r="G67" s="74" t="s">
        <v>165</v>
      </c>
      <c r="H67" s="53" t="s">
        <v>166</v>
      </c>
      <c r="I67" s="53" t="s">
        <v>167</v>
      </c>
      <c r="J67" s="53" t="s">
        <v>168</v>
      </c>
      <c r="K67" s="53" t="s">
        <v>169</v>
      </c>
      <c r="L67" s="10" t="s">
        <v>170</v>
      </c>
      <c r="M67" s="10" t="s">
        <v>171</v>
      </c>
      <c r="N67" s="75" t="s">
        <v>172</v>
      </c>
      <c r="O67" s="86" t="s">
        <v>170</v>
      </c>
      <c r="P67" s="86" t="s">
        <v>173</v>
      </c>
      <c r="Q67" s="85" t="s">
        <v>174</v>
      </c>
      <c r="R67" s="53" t="s">
        <v>174</v>
      </c>
      <c r="S67" s="85" t="s">
        <v>175</v>
      </c>
      <c r="T67" s="53" t="s">
        <v>176</v>
      </c>
      <c r="U67" s="85" t="s">
        <v>177</v>
      </c>
    </row>
    <row r="68" spans="1:44" x14ac:dyDescent="0.25">
      <c r="B68" s="10" t="s">
        <v>178</v>
      </c>
      <c r="C68" s="98">
        <f>AB25/$AB$41</f>
        <v>0</v>
      </c>
      <c r="D68" s="10" t="s">
        <v>5</v>
      </c>
      <c r="E68" s="75">
        <v>28.013000000000002</v>
      </c>
      <c r="F68" s="75">
        <v>-297.33199999999999</v>
      </c>
      <c r="G68" s="10"/>
      <c r="H68" s="77">
        <v>-346</v>
      </c>
      <c r="I68" s="77">
        <v>493</v>
      </c>
      <c r="J68" s="77">
        <v>-232.7</v>
      </c>
      <c r="K68" s="76">
        <v>0.99997000000000003</v>
      </c>
      <c r="L68" s="76">
        <v>0.80940000000000001</v>
      </c>
      <c r="M68" s="75">
        <f>L68*$M$19</f>
        <v>6.7479677999999996</v>
      </c>
      <c r="N68" s="75">
        <f>E68/M68</f>
        <v>4.1513238993226977</v>
      </c>
      <c r="O68" s="86">
        <v>13.547000000000001</v>
      </c>
      <c r="P68" s="86">
        <f>13.102/O68</f>
        <v>0.96715139883369006</v>
      </c>
      <c r="Q68" s="83">
        <v>0.24840000000000001</v>
      </c>
      <c r="R68" s="10"/>
      <c r="S68" s="83"/>
      <c r="T68" s="10"/>
      <c r="U68" s="83"/>
      <c r="AC68" s="5">
        <f t="shared" ref="AC68:AR83" si="23">E68*$C68</f>
        <v>0</v>
      </c>
      <c r="AD68" s="5">
        <f t="shared" si="23"/>
        <v>0</v>
      </c>
      <c r="AE68" s="5">
        <f t="shared" si="23"/>
        <v>0</v>
      </c>
      <c r="AF68" s="5">
        <f t="shared" si="23"/>
        <v>0</v>
      </c>
      <c r="AG68" s="5">
        <f t="shared" si="23"/>
        <v>0</v>
      </c>
      <c r="AH68" s="5">
        <f t="shared" si="23"/>
        <v>0</v>
      </c>
      <c r="AI68" s="5">
        <f t="shared" si="23"/>
        <v>0</v>
      </c>
      <c r="AJ68" s="5">
        <f t="shared" si="23"/>
        <v>0</v>
      </c>
      <c r="AK68" s="5">
        <f t="shared" si="23"/>
        <v>0</v>
      </c>
      <c r="AL68" s="5">
        <f t="shared" si="23"/>
        <v>0</v>
      </c>
      <c r="AM68" s="5">
        <f t="shared" si="23"/>
        <v>0</v>
      </c>
      <c r="AN68" s="5">
        <f t="shared" si="23"/>
        <v>0</v>
      </c>
      <c r="AO68" s="5">
        <f t="shared" si="23"/>
        <v>0</v>
      </c>
      <c r="AP68" s="5">
        <f t="shared" si="23"/>
        <v>0</v>
      </c>
      <c r="AQ68" s="5">
        <f t="shared" si="23"/>
        <v>0</v>
      </c>
      <c r="AR68" s="5">
        <f t="shared" si="23"/>
        <v>0</v>
      </c>
    </row>
    <row r="69" spans="1:44" x14ac:dyDescent="0.25">
      <c r="B69" s="10" t="s">
        <v>179</v>
      </c>
      <c r="C69" s="98">
        <f t="shared" ref="C69:C83" si="24">AB26/$AB$41</f>
        <v>0</v>
      </c>
      <c r="D69" s="10" t="s">
        <v>180</v>
      </c>
      <c r="E69" s="75">
        <v>44.01</v>
      </c>
      <c r="F69" s="75">
        <v>-109.32</v>
      </c>
      <c r="G69" s="10"/>
      <c r="H69" s="77">
        <v>-69.77</v>
      </c>
      <c r="I69" s="77">
        <v>1071</v>
      </c>
      <c r="J69" s="77">
        <v>87.87</v>
      </c>
      <c r="K69" s="76">
        <v>0.99429999999999996</v>
      </c>
      <c r="L69" s="76">
        <v>0.81759999999999999</v>
      </c>
      <c r="M69" s="75">
        <f t="shared" ref="M69:M82" si="25">L69*$M$19</f>
        <v>6.8163311999999996</v>
      </c>
      <c r="N69" s="75">
        <f>E69/M69</f>
        <v>6.4565524632957976</v>
      </c>
      <c r="O69" s="86">
        <v>8.6229999999999993</v>
      </c>
      <c r="P69" s="86">
        <f>13.102/O69</f>
        <v>1.5194247941551666</v>
      </c>
      <c r="Q69" s="83">
        <v>0.19900000000000001</v>
      </c>
      <c r="R69" s="10"/>
      <c r="S69" s="83"/>
      <c r="T69" s="10"/>
      <c r="U69" s="83"/>
      <c r="AC69" s="5">
        <f t="shared" si="23"/>
        <v>0</v>
      </c>
      <c r="AD69" s="5">
        <f t="shared" si="23"/>
        <v>0</v>
      </c>
      <c r="AE69" s="5">
        <f t="shared" si="23"/>
        <v>0</v>
      </c>
      <c r="AF69" s="5">
        <f t="shared" si="23"/>
        <v>0</v>
      </c>
      <c r="AG69" s="5">
        <f t="shared" si="23"/>
        <v>0</v>
      </c>
      <c r="AH69" s="5">
        <f t="shared" si="23"/>
        <v>0</v>
      </c>
      <c r="AI69" s="5">
        <f t="shared" si="23"/>
        <v>0</v>
      </c>
      <c r="AJ69" s="5">
        <f t="shared" si="23"/>
        <v>0</v>
      </c>
      <c r="AK69" s="5">
        <f t="shared" si="23"/>
        <v>0</v>
      </c>
      <c r="AL69" s="5">
        <f t="shared" si="23"/>
        <v>0</v>
      </c>
      <c r="AM69" s="5">
        <f t="shared" si="23"/>
        <v>0</v>
      </c>
      <c r="AN69" s="5">
        <f t="shared" si="23"/>
        <v>0</v>
      </c>
      <c r="AO69" s="5">
        <f t="shared" si="23"/>
        <v>0</v>
      </c>
      <c r="AP69" s="5">
        <f t="shared" si="23"/>
        <v>0</v>
      </c>
      <c r="AQ69" s="5">
        <f t="shared" si="23"/>
        <v>0</v>
      </c>
      <c r="AR69" s="5">
        <f t="shared" si="23"/>
        <v>0</v>
      </c>
    </row>
    <row r="70" spans="1:44" x14ac:dyDescent="0.25">
      <c r="B70" s="10" t="s">
        <v>181</v>
      </c>
      <c r="C70" s="98">
        <f t="shared" si="24"/>
        <v>6.883029770800222E-3</v>
      </c>
      <c r="D70" s="10" t="s">
        <v>3</v>
      </c>
      <c r="E70" s="75">
        <v>34.076000000000001</v>
      </c>
      <c r="F70" s="75">
        <v>-76.56</v>
      </c>
      <c r="G70" s="10">
        <v>387.1</v>
      </c>
      <c r="H70" s="77">
        <v>-121.58</v>
      </c>
      <c r="I70" s="77">
        <v>1036</v>
      </c>
      <c r="J70" s="77">
        <v>212.6</v>
      </c>
      <c r="K70" s="76">
        <v>0.99029999999999996</v>
      </c>
      <c r="L70" s="76">
        <v>0.78710000000000002</v>
      </c>
      <c r="M70" s="75">
        <f t="shared" si="25"/>
        <v>6.5620526999999997</v>
      </c>
      <c r="N70" s="75">
        <f>E70/M70</f>
        <v>5.1928872805303747</v>
      </c>
      <c r="O70" s="86">
        <v>11.135999999999999</v>
      </c>
      <c r="P70" s="86">
        <f>13.102/O70</f>
        <v>1.1765445402298851</v>
      </c>
      <c r="Q70" s="83">
        <v>0.2379</v>
      </c>
      <c r="R70" s="10">
        <v>0.49680000000000002</v>
      </c>
      <c r="S70" s="83">
        <v>637</v>
      </c>
      <c r="T70" s="10"/>
      <c r="U70" s="83"/>
      <c r="AC70" s="5">
        <f t="shared" si="23"/>
        <v>0.23454612246978837</v>
      </c>
      <c r="AD70" s="5">
        <f t="shared" si="23"/>
        <v>-0.526964759252465</v>
      </c>
      <c r="AE70" s="5">
        <f t="shared" si="23"/>
        <v>2.6644208242767662</v>
      </c>
      <c r="AF70" s="5">
        <f t="shared" si="23"/>
        <v>-0.83683875953389097</v>
      </c>
      <c r="AG70" s="5">
        <f t="shared" si="23"/>
        <v>7.1308188425490302</v>
      </c>
      <c r="AH70" s="5">
        <f t="shared" si="23"/>
        <v>1.4633321292721271</v>
      </c>
      <c r="AI70" s="5">
        <f t="shared" si="23"/>
        <v>6.8162643820234596E-3</v>
      </c>
      <c r="AJ70" s="5">
        <f t="shared" si="23"/>
        <v>5.4176327325968551E-3</v>
      </c>
      <c r="AK70" s="5">
        <f t="shared" si="23"/>
        <v>4.5166804091659976E-2</v>
      </c>
      <c r="AL70" s="5">
        <f t="shared" si="23"/>
        <v>3.5742797748300373E-2</v>
      </c>
      <c r="AM70" s="5">
        <f t="shared" si="23"/>
        <v>7.6649419527631268E-2</v>
      </c>
      <c r="AN70" s="5">
        <f t="shared" si="23"/>
        <v>8.0981910970747591E-3</v>
      </c>
      <c r="AO70" s="5">
        <f t="shared" si="23"/>
        <v>1.6374727824733728E-3</v>
      </c>
      <c r="AP70" s="5">
        <f t="shared" si="23"/>
        <v>3.4194891901335503E-3</v>
      </c>
      <c r="AQ70" s="5">
        <f t="shared" si="23"/>
        <v>4.3844899639997417</v>
      </c>
      <c r="AR70" s="5">
        <f t="shared" si="23"/>
        <v>0</v>
      </c>
    </row>
    <row r="71" spans="1:44" x14ac:dyDescent="0.25">
      <c r="B71" s="10" t="s">
        <v>182</v>
      </c>
      <c r="C71" s="98">
        <f t="shared" si="24"/>
        <v>0</v>
      </c>
      <c r="D71" s="10" t="s">
        <v>183</v>
      </c>
      <c r="E71" s="75">
        <v>16.042999999999999</v>
      </c>
      <c r="F71" s="75">
        <v>-258.7</v>
      </c>
      <c r="G71" s="10">
        <v>5000</v>
      </c>
      <c r="H71" s="77">
        <v>-296.5</v>
      </c>
      <c r="I71" s="77">
        <v>667.8</v>
      </c>
      <c r="J71" s="77">
        <v>-116.68</v>
      </c>
      <c r="K71" s="76">
        <v>0.99809999999999999</v>
      </c>
      <c r="L71" s="76">
        <v>0.3</v>
      </c>
      <c r="M71" s="75">
        <f t="shared" si="25"/>
        <v>2.5010999999999997</v>
      </c>
      <c r="N71" s="75">
        <f>E71/M71</f>
        <v>6.4143776738235179</v>
      </c>
      <c r="O71" s="86">
        <v>0.55389999999999995</v>
      </c>
      <c r="P71" s="86">
        <f>13.102/O71</f>
        <v>23.654089185773607</v>
      </c>
      <c r="Q71" s="83">
        <v>0.52659999999999996</v>
      </c>
      <c r="R71" s="10"/>
      <c r="S71" s="83">
        <v>1009.7</v>
      </c>
      <c r="T71" s="10"/>
      <c r="U71" s="83"/>
      <c r="AC71" s="5">
        <f t="shared" si="23"/>
        <v>0</v>
      </c>
      <c r="AD71" s="5">
        <f t="shared" si="23"/>
        <v>0</v>
      </c>
      <c r="AE71" s="5">
        <f t="shared" si="23"/>
        <v>0</v>
      </c>
      <c r="AF71" s="5">
        <f t="shared" si="23"/>
        <v>0</v>
      </c>
      <c r="AG71" s="5">
        <f t="shared" si="23"/>
        <v>0</v>
      </c>
      <c r="AH71" s="5">
        <f t="shared" si="23"/>
        <v>0</v>
      </c>
      <c r="AI71" s="5">
        <f t="shared" si="23"/>
        <v>0</v>
      </c>
      <c r="AJ71" s="5">
        <f t="shared" si="23"/>
        <v>0</v>
      </c>
      <c r="AK71" s="5">
        <f t="shared" si="23"/>
        <v>0</v>
      </c>
      <c r="AL71" s="5">
        <f t="shared" si="23"/>
        <v>0</v>
      </c>
      <c r="AM71" s="5">
        <f t="shared" si="23"/>
        <v>0</v>
      </c>
      <c r="AN71" s="5">
        <f t="shared" si="23"/>
        <v>0</v>
      </c>
      <c r="AO71" s="5">
        <f t="shared" si="23"/>
        <v>0</v>
      </c>
      <c r="AP71" s="5">
        <f t="shared" si="23"/>
        <v>0</v>
      </c>
      <c r="AQ71" s="5">
        <f t="shared" si="23"/>
        <v>0</v>
      </c>
      <c r="AR71" s="5">
        <f t="shared" si="23"/>
        <v>0</v>
      </c>
    </row>
    <row r="72" spans="1:44" x14ac:dyDescent="0.25">
      <c r="B72" s="10" t="s">
        <v>184</v>
      </c>
      <c r="C72" s="98">
        <f t="shared" si="24"/>
        <v>0</v>
      </c>
      <c r="D72" s="10" t="s">
        <v>185</v>
      </c>
      <c r="E72" s="75">
        <v>30.7</v>
      </c>
      <c r="F72" s="75">
        <v>-127.44</v>
      </c>
      <c r="G72" s="10">
        <v>800</v>
      </c>
      <c r="H72" s="77">
        <v>-297.04000000000002</v>
      </c>
      <c r="I72" s="77">
        <v>707.8</v>
      </c>
      <c r="J72" s="77">
        <v>90.1</v>
      </c>
      <c r="K72" s="76">
        <v>0.99609999999999999</v>
      </c>
      <c r="L72" s="76">
        <v>0.35630000000000001</v>
      </c>
      <c r="M72" s="75">
        <f t="shared" si="25"/>
        <v>2.9704731</v>
      </c>
      <c r="N72" s="75">
        <f t="shared" ref="N72:N83" si="26">E72/M72</f>
        <v>10.335054035668595</v>
      </c>
      <c r="O72" s="86">
        <v>1.0382</v>
      </c>
      <c r="P72" s="86">
        <f t="shared" ref="P72:P83" si="27">13.102/O72</f>
        <v>12.619919090733962</v>
      </c>
      <c r="Q72" s="83">
        <v>0.40799999999999997</v>
      </c>
      <c r="R72" s="10">
        <v>0.92559999999999998</v>
      </c>
      <c r="S72" s="83">
        <v>1768</v>
      </c>
      <c r="T72" s="10">
        <v>65889</v>
      </c>
      <c r="U72" s="83">
        <f>N72*C72/100/0.3795</f>
        <v>0</v>
      </c>
      <c r="AC72" s="5">
        <f t="shared" si="23"/>
        <v>0</v>
      </c>
      <c r="AD72" s="5">
        <f t="shared" si="23"/>
        <v>0</v>
      </c>
      <c r="AE72" s="5">
        <f t="shared" si="23"/>
        <v>0</v>
      </c>
      <c r="AF72" s="5">
        <f t="shared" si="23"/>
        <v>0</v>
      </c>
      <c r="AG72" s="5">
        <f t="shared" si="23"/>
        <v>0</v>
      </c>
      <c r="AH72" s="5">
        <f t="shared" si="23"/>
        <v>0</v>
      </c>
      <c r="AI72" s="5">
        <f t="shared" si="23"/>
        <v>0</v>
      </c>
      <c r="AJ72" s="5">
        <f t="shared" si="23"/>
        <v>0</v>
      </c>
      <c r="AK72" s="5">
        <f t="shared" si="23"/>
        <v>0</v>
      </c>
      <c r="AL72" s="5">
        <f t="shared" si="23"/>
        <v>0</v>
      </c>
      <c r="AM72" s="5">
        <f t="shared" si="23"/>
        <v>0</v>
      </c>
      <c r="AN72" s="5">
        <f t="shared" si="23"/>
        <v>0</v>
      </c>
      <c r="AO72" s="5">
        <f t="shared" si="23"/>
        <v>0</v>
      </c>
      <c r="AP72" s="5">
        <f t="shared" si="23"/>
        <v>0</v>
      </c>
      <c r="AQ72" s="5">
        <f t="shared" si="23"/>
        <v>0</v>
      </c>
      <c r="AR72" s="5">
        <f t="shared" si="23"/>
        <v>0</v>
      </c>
    </row>
    <row r="73" spans="1:44" x14ac:dyDescent="0.25">
      <c r="B73" s="10" t="s">
        <v>186</v>
      </c>
      <c r="C73" s="98">
        <f t="shared" si="24"/>
        <v>0</v>
      </c>
      <c r="D73" s="10" t="s">
        <v>187</v>
      </c>
      <c r="E73" s="75">
        <v>44.097000000000001</v>
      </c>
      <c r="F73" s="75">
        <v>-43.73</v>
      </c>
      <c r="G73" s="10">
        <v>188</v>
      </c>
      <c r="H73" s="77">
        <v>-305.82</v>
      </c>
      <c r="I73" s="77">
        <v>616.29999999999995</v>
      </c>
      <c r="J73" s="77">
        <v>206.1</v>
      </c>
      <c r="K73" s="76">
        <v>0.98080000000000001</v>
      </c>
      <c r="L73" s="76">
        <v>0.50749999999999995</v>
      </c>
      <c r="M73" s="75">
        <f t="shared" si="25"/>
        <v>4.2310274999999997</v>
      </c>
      <c r="N73" s="75">
        <f t="shared" si="26"/>
        <v>10.422291039233379</v>
      </c>
      <c r="O73" s="86">
        <v>1.5225</v>
      </c>
      <c r="P73" s="86">
        <f t="shared" si="27"/>
        <v>8.6055829228243024</v>
      </c>
      <c r="Q73" s="83">
        <v>0.38869999999999999</v>
      </c>
      <c r="R73" s="10">
        <v>0.59019999999999995</v>
      </c>
      <c r="S73" s="83">
        <v>2517</v>
      </c>
      <c r="T73" s="10">
        <v>90962</v>
      </c>
      <c r="U73" s="83">
        <f t="shared" ref="U73:U82" si="28">N73*C73/100/0.3795</f>
        <v>0</v>
      </c>
      <c r="AC73" s="5">
        <f t="shared" si="23"/>
        <v>0</v>
      </c>
      <c r="AD73" s="5">
        <f t="shared" si="23"/>
        <v>0</v>
      </c>
      <c r="AE73" s="5">
        <f t="shared" si="23"/>
        <v>0</v>
      </c>
      <c r="AF73" s="5">
        <f t="shared" si="23"/>
        <v>0</v>
      </c>
      <c r="AG73" s="5">
        <f t="shared" si="23"/>
        <v>0</v>
      </c>
      <c r="AH73" s="5">
        <f t="shared" si="23"/>
        <v>0</v>
      </c>
      <c r="AI73" s="5">
        <f t="shared" si="23"/>
        <v>0</v>
      </c>
      <c r="AJ73" s="5">
        <f t="shared" si="23"/>
        <v>0</v>
      </c>
      <c r="AK73" s="5">
        <f t="shared" si="23"/>
        <v>0</v>
      </c>
      <c r="AL73" s="5">
        <f t="shared" si="23"/>
        <v>0</v>
      </c>
      <c r="AM73" s="5">
        <f t="shared" si="23"/>
        <v>0</v>
      </c>
      <c r="AN73" s="5">
        <f t="shared" si="23"/>
        <v>0</v>
      </c>
      <c r="AO73" s="5">
        <f t="shared" si="23"/>
        <v>0</v>
      </c>
      <c r="AP73" s="5">
        <f t="shared" si="23"/>
        <v>0</v>
      </c>
      <c r="AQ73" s="5">
        <f t="shared" si="23"/>
        <v>0</v>
      </c>
      <c r="AR73" s="5">
        <f t="shared" si="23"/>
        <v>0</v>
      </c>
    </row>
    <row r="74" spans="1:44" x14ac:dyDescent="0.25">
      <c r="B74" s="10" t="s">
        <v>188</v>
      </c>
      <c r="C74" s="98">
        <f t="shared" si="24"/>
        <v>0.13506054207696816</v>
      </c>
      <c r="D74" s="10" t="s">
        <v>189</v>
      </c>
      <c r="E74" s="75">
        <v>58.124000000000002</v>
      </c>
      <c r="F74" s="75">
        <v>10.74</v>
      </c>
      <c r="G74" s="10">
        <v>72.39</v>
      </c>
      <c r="H74" s="77">
        <v>-255.28</v>
      </c>
      <c r="I74" s="77">
        <v>529.1</v>
      </c>
      <c r="J74" s="77">
        <v>274.95999999999998</v>
      </c>
      <c r="K74" s="76">
        <v>0.96609999999999996</v>
      </c>
      <c r="L74" s="76">
        <v>0.56299999999999994</v>
      </c>
      <c r="M74" s="75">
        <f t="shared" si="25"/>
        <v>4.6937309999999997</v>
      </c>
      <c r="N74" s="75">
        <f t="shared" si="26"/>
        <v>12.383325759401211</v>
      </c>
      <c r="O74" s="86">
        <v>2.0068000000000001</v>
      </c>
      <c r="P74" s="86">
        <f t="shared" si="27"/>
        <v>6.5288020729519634</v>
      </c>
      <c r="Q74" s="83">
        <v>0.38669999999999999</v>
      </c>
      <c r="R74" s="10">
        <v>0.56599999999999995</v>
      </c>
      <c r="S74" s="83">
        <v>3252</v>
      </c>
      <c r="T74" s="10">
        <v>98968</v>
      </c>
      <c r="U74" s="83">
        <f t="shared" si="28"/>
        <v>4.4071111720168935E-2</v>
      </c>
      <c r="AC74" s="5">
        <f t="shared" si="23"/>
        <v>7.8502589476816977</v>
      </c>
      <c r="AD74" s="5">
        <f t="shared" si="23"/>
        <v>1.450550221906638</v>
      </c>
      <c r="AE74" s="5">
        <f t="shared" si="23"/>
        <v>9.7770326409517256</v>
      </c>
      <c r="AF74" s="5">
        <f t="shared" si="23"/>
        <v>-34.478255181408429</v>
      </c>
      <c r="AG74" s="5">
        <f t="shared" si="23"/>
        <v>71.460532812923859</v>
      </c>
      <c r="AH74" s="5">
        <f t="shared" si="23"/>
        <v>37.136246649483162</v>
      </c>
      <c r="AI74" s="5">
        <f t="shared" si="23"/>
        <v>0.13048198970055894</v>
      </c>
      <c r="AJ74" s="5">
        <f t="shared" si="23"/>
        <v>7.6039085189333069E-2</v>
      </c>
      <c r="AK74" s="5">
        <f t="shared" si="23"/>
        <v>0.63393785322346974</v>
      </c>
      <c r="AL74" s="5">
        <f t="shared" si="23"/>
        <v>1.6724986897804111</v>
      </c>
      <c r="AM74" s="5">
        <f t="shared" si="23"/>
        <v>0.27103949584005971</v>
      </c>
      <c r="AN74" s="5">
        <f t="shared" si="23"/>
        <v>0.88178354708612561</v>
      </c>
      <c r="AO74" s="5">
        <f t="shared" si="23"/>
        <v>5.2227911621163588E-2</v>
      </c>
      <c r="AP74" s="5">
        <f t="shared" si="23"/>
        <v>7.6444266815563974E-2</v>
      </c>
      <c r="AQ74" s="5">
        <f t="shared" si="23"/>
        <v>439.21688283430046</v>
      </c>
      <c r="AR74" s="5">
        <f t="shared" si="23"/>
        <v>13366.671728273384</v>
      </c>
    </row>
    <row r="75" spans="1:44" x14ac:dyDescent="0.25">
      <c r="B75" s="10" t="s">
        <v>190</v>
      </c>
      <c r="C75" s="98">
        <f t="shared" si="24"/>
        <v>0.1953260604669862</v>
      </c>
      <c r="D75" s="10" t="s">
        <v>189</v>
      </c>
      <c r="E75" s="75">
        <v>58.124000000000002</v>
      </c>
      <c r="F75" s="75">
        <v>31.12</v>
      </c>
      <c r="G75" s="10">
        <v>51.54</v>
      </c>
      <c r="H75" s="77">
        <v>-217.05</v>
      </c>
      <c r="I75" s="77">
        <v>550.70000000000005</v>
      </c>
      <c r="J75" s="77">
        <v>305.62</v>
      </c>
      <c r="K75" s="76">
        <v>0.93669999999999998</v>
      </c>
      <c r="L75" s="76">
        <v>0.58430000000000004</v>
      </c>
      <c r="M75" s="75">
        <f t="shared" si="25"/>
        <v>4.8713091000000004</v>
      </c>
      <c r="N75" s="75">
        <f t="shared" si="26"/>
        <v>11.931905532334213</v>
      </c>
      <c r="O75" s="86">
        <v>2.0068000000000001</v>
      </c>
      <c r="P75" s="86">
        <f t="shared" si="27"/>
        <v>6.5288020729519634</v>
      </c>
      <c r="Q75" s="83">
        <v>0.39510000000000001</v>
      </c>
      <c r="R75" s="10">
        <v>0.56599999999999995</v>
      </c>
      <c r="S75" s="83">
        <v>3262</v>
      </c>
      <c r="T75" s="10">
        <v>102918</v>
      </c>
      <c r="U75" s="83">
        <f t="shared" si="28"/>
        <v>6.1412703596708279E-2</v>
      </c>
      <c r="AC75" s="5">
        <f t="shared" si="23"/>
        <v>11.353131938583106</v>
      </c>
      <c r="AD75" s="5">
        <f t="shared" si="23"/>
        <v>6.0785470017326109</v>
      </c>
      <c r="AE75" s="5">
        <f t="shared" si="23"/>
        <v>10.067105156468468</v>
      </c>
      <c r="AF75" s="5">
        <f t="shared" si="23"/>
        <v>-42.395521424359359</v>
      </c>
      <c r="AG75" s="5">
        <f t="shared" si="23"/>
        <v>107.56606149916931</v>
      </c>
      <c r="AH75" s="5">
        <f t="shared" si="23"/>
        <v>59.695550599920324</v>
      </c>
      <c r="AI75" s="5">
        <f t="shared" si="23"/>
        <v>0.18296192083942597</v>
      </c>
      <c r="AJ75" s="5">
        <f t="shared" si="23"/>
        <v>0.11412901713086004</v>
      </c>
      <c r="AK75" s="5">
        <f t="shared" si="23"/>
        <v>0.95149361581998015</v>
      </c>
      <c r="AL75" s="5">
        <f t="shared" si="23"/>
        <v>2.3306121014950794</v>
      </c>
      <c r="AM75" s="5">
        <f t="shared" si="23"/>
        <v>0.39198033814514793</v>
      </c>
      <c r="AN75" s="5">
        <f t="shared" si="23"/>
        <v>1.2752451884784</v>
      </c>
      <c r="AO75" s="5">
        <f t="shared" si="23"/>
        <v>7.7173326490506247E-2</v>
      </c>
      <c r="AP75" s="5">
        <f t="shared" si="23"/>
        <v>0.11055455022431418</v>
      </c>
      <c r="AQ75" s="5">
        <f t="shared" si="23"/>
        <v>637.15360924330901</v>
      </c>
      <c r="AR75" s="5">
        <f t="shared" si="23"/>
        <v>20102.567491141286</v>
      </c>
    </row>
    <row r="76" spans="1:44" x14ac:dyDescent="0.25">
      <c r="B76" s="10" t="s">
        <v>191</v>
      </c>
      <c r="C76" s="98">
        <f t="shared" si="24"/>
        <v>0.21217800743899812</v>
      </c>
      <c r="D76" s="10" t="s">
        <v>192</v>
      </c>
      <c r="E76" s="75">
        <v>72.150999999999996</v>
      </c>
      <c r="F76" s="75">
        <v>82.11</v>
      </c>
      <c r="G76" s="10">
        <v>20.443999999999999</v>
      </c>
      <c r="H76" s="77">
        <v>-255.82</v>
      </c>
      <c r="I76" s="77">
        <v>490.4</v>
      </c>
      <c r="J76" s="77">
        <v>369.03</v>
      </c>
      <c r="K76" s="76">
        <v>0.94799999999999995</v>
      </c>
      <c r="L76" s="76">
        <v>0.62439999999999996</v>
      </c>
      <c r="M76" s="75">
        <f t="shared" si="25"/>
        <v>5.2056227999999996</v>
      </c>
      <c r="N76" s="75">
        <f t="shared" si="26"/>
        <v>13.860205161234502</v>
      </c>
      <c r="O76" s="86">
        <v>2.4910999999999999</v>
      </c>
      <c r="P76" s="86">
        <f t="shared" si="27"/>
        <v>5.2595239051021645</v>
      </c>
      <c r="Q76" s="83">
        <v>0.38290000000000002</v>
      </c>
      <c r="R76" s="10">
        <v>0.5353</v>
      </c>
      <c r="S76" s="83">
        <v>4000</v>
      </c>
      <c r="T76" s="10">
        <v>108722</v>
      </c>
      <c r="U76" s="83">
        <f t="shared" si="28"/>
        <v>7.7492245423094977E-2</v>
      </c>
      <c r="AC76" s="5">
        <f t="shared" si="23"/>
        <v>15.308855414731152</v>
      </c>
      <c r="AD76" s="5">
        <f t="shared" si="23"/>
        <v>17.421936190816137</v>
      </c>
      <c r="AE76" s="5">
        <f t="shared" si="23"/>
        <v>4.3377671840828773</v>
      </c>
      <c r="AF76" s="5">
        <f t="shared" si="23"/>
        <v>-54.279377863044495</v>
      </c>
      <c r="AG76" s="5">
        <f t="shared" si="23"/>
        <v>104.05209484808468</v>
      </c>
      <c r="AH76" s="5">
        <f t="shared" si="23"/>
        <v>78.300050085213471</v>
      </c>
      <c r="AI76" s="5">
        <f t="shared" si="23"/>
        <v>0.2011447510521702</v>
      </c>
      <c r="AJ76" s="5">
        <f t="shared" si="23"/>
        <v>0.13248394784491041</v>
      </c>
      <c r="AK76" s="5">
        <f t="shared" si="23"/>
        <v>1.1045186731830181</v>
      </c>
      <c r="AL76" s="5">
        <f t="shared" si="23"/>
        <v>2.9408307138064544</v>
      </c>
      <c r="AM76" s="5">
        <f t="shared" si="23"/>
        <v>0.52855663433128819</v>
      </c>
      <c r="AN76" s="5">
        <f t="shared" si="23"/>
        <v>1.1159553022623554</v>
      </c>
      <c r="AO76" s="5">
        <f t="shared" si="23"/>
        <v>8.1242959048392377E-2</v>
      </c>
      <c r="AP76" s="5">
        <f t="shared" si="23"/>
        <v>0.11357888738209569</v>
      </c>
      <c r="AQ76" s="5">
        <f t="shared" si="23"/>
        <v>848.71202975599249</v>
      </c>
      <c r="AR76" s="5">
        <f t="shared" si="23"/>
        <v>23068.417324782753</v>
      </c>
    </row>
    <row r="77" spans="1:44" x14ac:dyDescent="0.25">
      <c r="B77" s="10" t="s">
        <v>193</v>
      </c>
      <c r="C77" s="98">
        <f t="shared" si="24"/>
        <v>0.29757838443570245</v>
      </c>
      <c r="D77" s="10" t="s">
        <v>192</v>
      </c>
      <c r="E77" s="75">
        <v>72.150999999999996</v>
      </c>
      <c r="F77" s="75">
        <v>96.91</v>
      </c>
      <c r="G77" s="10">
        <v>15.574999999999999</v>
      </c>
      <c r="H77" s="77">
        <v>-201.51</v>
      </c>
      <c r="I77" s="77">
        <v>488.6</v>
      </c>
      <c r="J77" s="77">
        <v>385.6</v>
      </c>
      <c r="K77" s="76">
        <v>0.94199999999999995</v>
      </c>
      <c r="L77" s="76">
        <v>0.63109999999999999</v>
      </c>
      <c r="M77" s="75">
        <f t="shared" si="25"/>
        <v>5.2614806999999999</v>
      </c>
      <c r="N77" s="75">
        <f t="shared" si="26"/>
        <v>13.713059899659044</v>
      </c>
      <c r="O77" s="86">
        <v>2.4910999999999999</v>
      </c>
      <c r="P77" s="86">
        <f t="shared" si="27"/>
        <v>5.2595239051021645</v>
      </c>
      <c r="Q77" s="83">
        <v>0.39900000000000002</v>
      </c>
      <c r="R77" s="10">
        <v>0.54800000000000004</v>
      </c>
      <c r="S77" s="83">
        <v>4008</v>
      </c>
      <c r="T77" s="10">
        <v>110071</v>
      </c>
      <c r="U77" s="83">
        <f t="shared" si="28"/>
        <v>0.1075285958000146</v>
      </c>
      <c r="AC77" s="5">
        <f t="shared" si="23"/>
        <v>21.470578015420365</v>
      </c>
      <c r="AD77" s="5">
        <f t="shared" si="23"/>
        <v>28.838321235663923</v>
      </c>
      <c r="AE77" s="5">
        <f t="shared" si="23"/>
        <v>4.6347833375860654</v>
      </c>
      <c r="AF77" s="5">
        <f t="shared" si="23"/>
        <v>-59.9650202476384</v>
      </c>
      <c r="AG77" s="5">
        <f t="shared" si="23"/>
        <v>145.39679863528423</v>
      </c>
      <c r="AH77" s="5">
        <f t="shared" si="23"/>
        <v>114.74622503840688</v>
      </c>
      <c r="AI77" s="5">
        <f t="shared" si="23"/>
        <v>0.28031883813843167</v>
      </c>
      <c r="AJ77" s="5">
        <f t="shared" si="23"/>
        <v>0.18780171841737181</v>
      </c>
      <c r="AK77" s="5">
        <f t="shared" si="23"/>
        <v>1.5657029264456288</v>
      </c>
      <c r="AL77" s="5">
        <f t="shared" si="23"/>
        <v>4.0807102106105537</v>
      </c>
      <c r="AM77" s="5">
        <f t="shared" si="23"/>
        <v>0.74129751346777828</v>
      </c>
      <c r="AN77" s="5">
        <f t="shared" si="23"/>
        <v>1.5651206265812589</v>
      </c>
      <c r="AO77" s="5">
        <f t="shared" si="23"/>
        <v>0.11873377538984528</v>
      </c>
      <c r="AP77" s="5">
        <f t="shared" si="23"/>
        <v>0.16307295467076496</v>
      </c>
      <c r="AQ77" s="5">
        <f t="shared" si="23"/>
        <v>1192.6941648182953</v>
      </c>
      <c r="AR77" s="5">
        <f t="shared" si="23"/>
        <v>32754.750353222204</v>
      </c>
    </row>
    <row r="78" spans="1:44" x14ac:dyDescent="0.25">
      <c r="B78" s="10" t="s">
        <v>194</v>
      </c>
      <c r="C78" s="98">
        <f t="shared" si="24"/>
        <v>0.11167579718574329</v>
      </c>
      <c r="D78" s="10" t="s">
        <v>195</v>
      </c>
      <c r="E78" s="75">
        <v>86.177999999999997</v>
      </c>
      <c r="F78" s="75">
        <v>155.72999999999999</v>
      </c>
      <c r="G78" s="10">
        <v>4.96</v>
      </c>
      <c r="H78" s="77">
        <v>-139.58000000000001</v>
      </c>
      <c r="I78" s="77">
        <v>710.4</v>
      </c>
      <c r="J78" s="77">
        <v>453.6</v>
      </c>
      <c r="K78" s="76">
        <v>0.91</v>
      </c>
      <c r="L78" s="76">
        <v>0.66400000000000003</v>
      </c>
      <c r="M78" s="75">
        <f t="shared" si="25"/>
        <v>5.535768</v>
      </c>
      <c r="N78" s="75">
        <f t="shared" si="26"/>
        <v>15.567487654829465</v>
      </c>
      <c r="O78" s="86">
        <v>2.9752999999999998</v>
      </c>
      <c r="P78" s="86">
        <f t="shared" si="27"/>
        <v>4.4035895539945553</v>
      </c>
      <c r="Q78" s="83">
        <v>0.38569999999999999</v>
      </c>
      <c r="R78" s="10">
        <v>0.53320000000000001</v>
      </c>
      <c r="S78" s="83">
        <v>4756</v>
      </c>
      <c r="T78" s="10">
        <v>115055</v>
      </c>
      <c r="U78" s="83">
        <f t="shared" si="28"/>
        <v>4.581058218793934E-2</v>
      </c>
      <c r="AC78" s="5">
        <f t="shared" si="23"/>
        <v>9.6239968498729844</v>
      </c>
      <c r="AD78" s="5">
        <f t="shared" si="23"/>
        <v>17.391271895735802</v>
      </c>
      <c r="AE78" s="5">
        <f t="shared" si="23"/>
        <v>0.55391195404128668</v>
      </c>
      <c r="AF78" s="5">
        <f t="shared" si="23"/>
        <v>-15.58770777118605</v>
      </c>
      <c r="AG78" s="5">
        <f t="shared" si="23"/>
        <v>79.334486320752035</v>
      </c>
      <c r="AH78" s="5">
        <f t="shared" si="23"/>
        <v>50.656141603453158</v>
      </c>
      <c r="AI78" s="5">
        <f t="shared" si="23"/>
        <v>0.10162497543902639</v>
      </c>
      <c r="AJ78" s="5">
        <f t="shared" si="23"/>
        <v>7.4152729331333544E-2</v>
      </c>
      <c r="AK78" s="5">
        <f t="shared" si="23"/>
        <v>0.61821130443532779</v>
      </c>
      <c r="AL78" s="5">
        <f t="shared" si="23"/>
        <v>1.7385115940322977</v>
      </c>
      <c r="AM78" s="5">
        <f t="shared" si="23"/>
        <v>0.33226899936674198</v>
      </c>
      <c r="AN78" s="5">
        <f t="shared" si="23"/>
        <v>0.4917743739211537</v>
      </c>
      <c r="AO78" s="5">
        <f t="shared" si="23"/>
        <v>4.3073354974541185E-2</v>
      </c>
      <c r="AP78" s="5">
        <f t="shared" si="23"/>
        <v>5.9545535059438326E-2</v>
      </c>
      <c r="AQ78" s="5">
        <f t="shared" si="23"/>
        <v>531.1300914153951</v>
      </c>
      <c r="AR78" s="5">
        <f t="shared" si="23"/>
        <v>12848.858845205694</v>
      </c>
    </row>
    <row r="79" spans="1:44" x14ac:dyDescent="0.25">
      <c r="B79" s="10" t="s">
        <v>196</v>
      </c>
      <c r="C79" s="98">
        <f t="shared" si="24"/>
        <v>1.032454465620033E-2</v>
      </c>
      <c r="D79" s="10" t="s">
        <v>197</v>
      </c>
      <c r="E79" s="75">
        <v>78.114000000000004</v>
      </c>
      <c r="F79" s="75">
        <v>176.16</v>
      </c>
      <c r="G79" s="10">
        <v>3.2250000000000001</v>
      </c>
      <c r="H79" s="77">
        <v>41.96</v>
      </c>
      <c r="I79" s="77">
        <v>710.4</v>
      </c>
      <c r="J79" s="77">
        <v>552.22</v>
      </c>
      <c r="K79" s="76">
        <v>0.92900000000000005</v>
      </c>
      <c r="L79" s="76">
        <v>0.88449999999999995</v>
      </c>
      <c r="M79" s="75">
        <f t="shared" si="25"/>
        <v>7.3740764999999993</v>
      </c>
      <c r="N79" s="75">
        <f t="shared" si="26"/>
        <v>10.593055279532292</v>
      </c>
      <c r="O79" s="86">
        <v>2.6968999999999999</v>
      </c>
      <c r="P79" s="86">
        <f t="shared" si="27"/>
        <v>4.8581704920464244</v>
      </c>
      <c r="Q79" s="83">
        <v>0.2422</v>
      </c>
      <c r="R79" s="10">
        <v>0.4098</v>
      </c>
      <c r="S79" s="83">
        <v>3741</v>
      </c>
      <c r="T79" s="10">
        <v>132651</v>
      </c>
      <c r="U79" s="83">
        <f t="shared" si="28"/>
        <v>2.8819096779744355E-3</v>
      </c>
      <c r="AC79" s="5">
        <f t="shared" si="23"/>
        <v>0.8064914812744326</v>
      </c>
      <c r="AD79" s="5">
        <f t="shared" si="23"/>
        <v>1.8187717866362501</v>
      </c>
      <c r="AE79" s="5">
        <f t="shared" si="23"/>
        <v>3.3296656516246068E-2</v>
      </c>
      <c r="AF79" s="5">
        <f t="shared" si="23"/>
        <v>0.43321789377416586</v>
      </c>
      <c r="AG79" s="5">
        <f t="shared" si="23"/>
        <v>7.3345565237647143</v>
      </c>
      <c r="AH79" s="5">
        <f t="shared" si="23"/>
        <v>5.7014200500469467</v>
      </c>
      <c r="AI79" s="5">
        <f t="shared" si="23"/>
        <v>9.5915019856101062E-3</v>
      </c>
      <c r="AJ79" s="5">
        <f t="shared" si="23"/>
        <v>9.1320597484091919E-3</v>
      </c>
      <c r="AK79" s="5">
        <f t="shared" si="23"/>
        <v>7.6133982122487426E-2</v>
      </c>
      <c r="AL79" s="5">
        <f t="shared" si="23"/>
        <v>0.10936847227912982</v>
      </c>
      <c r="AM79" s="5">
        <f t="shared" si="23"/>
        <v>2.784426448330667E-2</v>
      </c>
      <c r="AN79" s="5">
        <f t="shared" si="23"/>
        <v>5.0158398192568038E-2</v>
      </c>
      <c r="AO79" s="5">
        <f t="shared" si="23"/>
        <v>2.50060471573172E-3</v>
      </c>
      <c r="AP79" s="5">
        <f t="shared" si="23"/>
        <v>4.2309984001108955E-3</v>
      </c>
      <c r="AQ79" s="5">
        <f t="shared" si="23"/>
        <v>38.624121558845431</v>
      </c>
      <c r="AR79" s="5">
        <f t="shared" si="23"/>
        <v>1369.5611731896299</v>
      </c>
    </row>
    <row r="80" spans="1:44" x14ac:dyDescent="0.25">
      <c r="B80" s="10" t="s">
        <v>198</v>
      </c>
      <c r="C80" s="98">
        <f t="shared" si="24"/>
        <v>1.032454465620033E-2</v>
      </c>
      <c r="D80" s="10" t="s">
        <v>199</v>
      </c>
      <c r="E80" s="75">
        <v>92.141000000000005</v>
      </c>
      <c r="F80" s="75">
        <v>231.13</v>
      </c>
      <c r="G80" s="10">
        <v>1.0029999999999999</v>
      </c>
      <c r="H80" s="77">
        <v>-138.97999999999999</v>
      </c>
      <c r="I80" s="77">
        <v>595.5</v>
      </c>
      <c r="J80" s="77">
        <v>605.57000000000005</v>
      </c>
      <c r="K80" s="76">
        <v>0.90300000000000002</v>
      </c>
      <c r="L80" s="76">
        <v>0.87190000000000001</v>
      </c>
      <c r="M80" s="75">
        <f t="shared" si="25"/>
        <v>7.2690302999999998</v>
      </c>
      <c r="N80" s="75">
        <f t="shared" si="26"/>
        <v>12.675831052733404</v>
      </c>
      <c r="O80" s="86">
        <v>3.1812</v>
      </c>
      <c r="P80" s="86">
        <f t="shared" si="27"/>
        <v>4.118571608198164</v>
      </c>
      <c r="Q80" s="83">
        <v>0.25979999999999998</v>
      </c>
      <c r="R80" s="10">
        <v>0.40089999999999998</v>
      </c>
      <c r="S80" s="83">
        <v>4475</v>
      </c>
      <c r="T80" s="10">
        <v>132659</v>
      </c>
      <c r="U80" s="83">
        <f t="shared" si="28"/>
        <v>3.4485423915256094E-3</v>
      </c>
      <c r="AC80" s="5">
        <f t="shared" si="23"/>
        <v>0.95131386916695471</v>
      </c>
      <c r="AD80" s="5">
        <f t="shared" si="23"/>
        <v>2.3863120063875822</v>
      </c>
      <c r="AE80" s="5">
        <f t="shared" si="23"/>
        <v>1.035551829016893E-2</v>
      </c>
      <c r="AF80" s="5">
        <f t="shared" si="23"/>
        <v>-1.4349052163187217</v>
      </c>
      <c r="AG80" s="5">
        <f t="shared" si="23"/>
        <v>6.1482663427672968</v>
      </c>
      <c r="AH80" s="5">
        <f t="shared" si="23"/>
        <v>6.2522345074552339</v>
      </c>
      <c r="AI80" s="5">
        <f t="shared" si="23"/>
        <v>9.3230638245488974E-3</v>
      </c>
      <c r="AJ80" s="5">
        <f t="shared" si="23"/>
        <v>9.0019704857410669E-3</v>
      </c>
      <c r="AK80" s="5">
        <f t="shared" si="23"/>
        <v>7.5049427939623284E-2</v>
      </c>
      <c r="AL80" s="5">
        <f t="shared" si="23"/>
        <v>0.13087218375839688</v>
      </c>
      <c r="AM80" s="5">
        <f t="shared" si="23"/>
        <v>3.2844441460304491E-2</v>
      </c>
      <c r="AN80" s="5">
        <f t="shared" si="23"/>
        <v>4.2522376488600751E-2</v>
      </c>
      <c r="AO80" s="5">
        <f t="shared" si="23"/>
        <v>2.6823167016808455E-3</v>
      </c>
      <c r="AP80" s="5">
        <f t="shared" si="23"/>
        <v>4.1391099526707125E-3</v>
      </c>
      <c r="AQ80" s="5">
        <f t="shared" si="23"/>
        <v>46.202337336496477</v>
      </c>
      <c r="AR80" s="5">
        <f t="shared" si="23"/>
        <v>1369.6437695468796</v>
      </c>
    </row>
    <row r="81" spans="2:44" x14ac:dyDescent="0.25">
      <c r="B81" s="10" t="s">
        <v>200</v>
      </c>
      <c r="C81" s="98">
        <f t="shared" si="24"/>
        <v>1.032454465620033E-2</v>
      </c>
      <c r="D81" s="10" t="s">
        <v>201</v>
      </c>
      <c r="E81" s="75">
        <v>106.16800000000001</v>
      </c>
      <c r="F81" s="75">
        <v>277.16000000000003</v>
      </c>
      <c r="G81" s="10">
        <v>0.37159999999999999</v>
      </c>
      <c r="H81" s="77">
        <v>-138.96</v>
      </c>
      <c r="I81" s="77">
        <v>523.4</v>
      </c>
      <c r="J81" s="77">
        <v>651.29</v>
      </c>
      <c r="K81" s="76"/>
      <c r="L81" s="76">
        <v>0.87170000000000003</v>
      </c>
      <c r="M81" s="75">
        <f t="shared" si="25"/>
        <v>7.2673629000000002</v>
      </c>
      <c r="N81" s="75">
        <f t="shared" si="26"/>
        <v>14.608875524848223</v>
      </c>
      <c r="O81" s="86">
        <v>3.6655000000000002</v>
      </c>
      <c r="P81" s="86">
        <f t="shared" si="27"/>
        <v>3.5744100395580412</v>
      </c>
      <c r="Q81" s="83">
        <v>0.27950000000000003</v>
      </c>
      <c r="R81" s="10">
        <v>0.4113</v>
      </c>
      <c r="S81" s="83">
        <v>5222</v>
      </c>
      <c r="T81" s="10">
        <v>134381</v>
      </c>
      <c r="U81" s="83">
        <f t="shared" si="28"/>
        <v>3.9744397294642292E-3</v>
      </c>
      <c r="AC81" s="5">
        <f t="shared" si="23"/>
        <v>1.0961362570594766</v>
      </c>
      <c r="AD81" s="5">
        <f t="shared" si="23"/>
        <v>2.8615507969124838</v>
      </c>
      <c r="AE81" s="5">
        <f t="shared" si="23"/>
        <v>3.8366007942440424E-3</v>
      </c>
      <c r="AF81" s="5">
        <f t="shared" si="23"/>
        <v>-1.4346987254255978</v>
      </c>
      <c r="AG81" s="5">
        <f t="shared" si="23"/>
        <v>5.4038666730552523</v>
      </c>
      <c r="AH81" s="5">
        <f t="shared" si="23"/>
        <v>6.7242726891367122</v>
      </c>
      <c r="AI81" s="5">
        <f t="shared" si="23"/>
        <v>0</v>
      </c>
      <c r="AJ81" s="5">
        <f t="shared" si="23"/>
        <v>8.9999055768098281E-3</v>
      </c>
      <c r="AK81" s="5">
        <f t="shared" si="23"/>
        <v>7.5032212793863531E-2</v>
      </c>
      <c r="AL81" s="5">
        <f t="shared" si="23"/>
        <v>0.1508299877331675</v>
      </c>
      <c r="AM81" s="5">
        <f t="shared" si="23"/>
        <v>3.7844618437302309E-2</v>
      </c>
      <c r="AN81" s="5">
        <f t="shared" si="23"/>
        <v>3.6904156072987783E-2</v>
      </c>
      <c r="AO81" s="5">
        <f t="shared" si="23"/>
        <v>2.8857102314079927E-3</v>
      </c>
      <c r="AP81" s="5">
        <f t="shared" si="23"/>
        <v>4.2464852170951955E-3</v>
      </c>
      <c r="AQ81" s="5">
        <f t="shared" si="23"/>
        <v>53.914772194678122</v>
      </c>
      <c r="AR81" s="5">
        <f t="shared" si="23"/>
        <v>1387.4226354448565</v>
      </c>
    </row>
    <row r="82" spans="2:44" x14ac:dyDescent="0.25">
      <c r="B82" s="10" t="s">
        <v>202</v>
      </c>
      <c r="C82" s="98">
        <f t="shared" si="24"/>
        <v>1.032454465620033E-2</v>
      </c>
      <c r="D82" s="10" t="s">
        <v>203</v>
      </c>
      <c r="E82" s="75">
        <v>106.16800000000001</v>
      </c>
      <c r="F82" s="75">
        <v>291.97000000000003</v>
      </c>
      <c r="G82" s="10">
        <v>0.26429999999999998</v>
      </c>
      <c r="H82" s="77">
        <v>-13.32</v>
      </c>
      <c r="I82" s="77">
        <v>541.6</v>
      </c>
      <c r="J82" s="77">
        <v>674.92</v>
      </c>
      <c r="K82" s="76"/>
      <c r="L82" s="76">
        <v>0.88470000000000004</v>
      </c>
      <c r="M82" s="75">
        <f t="shared" si="25"/>
        <v>7.3757438999999998</v>
      </c>
      <c r="N82" s="75">
        <f t="shared" si="26"/>
        <v>14.394209104792807</v>
      </c>
      <c r="O82" s="86">
        <v>3.6655000000000002</v>
      </c>
      <c r="P82" s="86">
        <f t="shared" si="27"/>
        <v>3.5744100395580412</v>
      </c>
      <c r="Q82" s="83">
        <v>0.29139999999999999</v>
      </c>
      <c r="R82" s="10">
        <v>0.41610000000000003</v>
      </c>
      <c r="S82" s="83">
        <v>5209</v>
      </c>
      <c r="T82" s="10">
        <v>136036</v>
      </c>
      <c r="U82" s="83">
        <f t="shared" si="28"/>
        <v>3.9160383318344854E-3</v>
      </c>
      <c r="AC82" s="5">
        <f t="shared" si="23"/>
        <v>1.0961362570594766</v>
      </c>
      <c r="AD82" s="5">
        <f t="shared" si="23"/>
        <v>3.0144573032708104</v>
      </c>
      <c r="AE82" s="5">
        <f t="shared" si="23"/>
        <v>2.7287771526337472E-3</v>
      </c>
      <c r="AF82" s="5">
        <f t="shared" si="23"/>
        <v>-0.13752293482058839</v>
      </c>
      <c r="AG82" s="5">
        <f t="shared" si="23"/>
        <v>5.5917733857980991</v>
      </c>
      <c r="AH82" s="5">
        <f t="shared" si="23"/>
        <v>6.968241679362726</v>
      </c>
      <c r="AI82" s="5">
        <f t="shared" si="23"/>
        <v>0</v>
      </c>
      <c r="AJ82" s="5">
        <f t="shared" si="23"/>
        <v>9.1341246573404325E-3</v>
      </c>
      <c r="AK82" s="5">
        <f t="shared" si="23"/>
        <v>7.6151197268247178E-2</v>
      </c>
      <c r="AL82" s="5">
        <f t="shared" si="23"/>
        <v>0.14861365469311871</v>
      </c>
      <c r="AM82" s="5">
        <f t="shared" si="23"/>
        <v>3.7844618437302309E-2</v>
      </c>
      <c r="AN82" s="5">
        <f t="shared" si="23"/>
        <v>3.6904156072987783E-2</v>
      </c>
      <c r="AO82" s="5">
        <f t="shared" si="23"/>
        <v>3.0085723128167761E-3</v>
      </c>
      <c r="AP82" s="5">
        <f t="shared" si="23"/>
        <v>4.2960430314449571E-3</v>
      </c>
      <c r="AQ82" s="5">
        <f t="shared" si="23"/>
        <v>53.780553114147516</v>
      </c>
      <c r="AR82" s="5">
        <f t="shared" si="23"/>
        <v>1404.5097568508681</v>
      </c>
    </row>
    <row r="83" spans="2:44" x14ac:dyDescent="0.25">
      <c r="B83" s="10" t="s">
        <v>2</v>
      </c>
      <c r="C83" s="98">
        <f t="shared" si="24"/>
        <v>0</v>
      </c>
      <c r="D83" s="10" t="s">
        <v>204</v>
      </c>
      <c r="E83" s="75">
        <v>18.015000000000001</v>
      </c>
      <c r="F83" s="75">
        <v>212</v>
      </c>
      <c r="G83" s="10">
        <v>0.94950000000000001</v>
      </c>
      <c r="H83" s="77">
        <v>32</v>
      </c>
      <c r="I83" s="77">
        <v>3207.9</v>
      </c>
      <c r="J83" s="77">
        <v>705.5</v>
      </c>
      <c r="K83" s="76">
        <v>0.34339999999999998</v>
      </c>
      <c r="L83" s="76">
        <v>1</v>
      </c>
      <c r="M83" s="75">
        <v>8.3369999999999997</v>
      </c>
      <c r="N83" s="75">
        <f t="shared" si="26"/>
        <v>2.1608492263404102</v>
      </c>
      <c r="O83" s="86">
        <v>21.06</v>
      </c>
      <c r="P83" s="86">
        <f t="shared" si="27"/>
        <v>0.62212725546058889</v>
      </c>
      <c r="Q83" s="83">
        <v>0.44469999999999998</v>
      </c>
      <c r="R83" s="10">
        <v>1.0009999999999999</v>
      </c>
      <c r="S83" s="83">
        <v>49</v>
      </c>
      <c r="T83" s="10">
        <v>0</v>
      </c>
      <c r="U83" s="83"/>
      <c r="AC83" s="5">
        <f t="shared" si="23"/>
        <v>0</v>
      </c>
      <c r="AD83" s="5">
        <f t="shared" si="23"/>
        <v>0</v>
      </c>
      <c r="AE83" s="5">
        <f t="shared" si="23"/>
        <v>0</v>
      </c>
      <c r="AF83" s="5">
        <f t="shared" si="23"/>
        <v>0</v>
      </c>
      <c r="AG83" s="5">
        <f t="shared" si="23"/>
        <v>0</v>
      </c>
      <c r="AH83" s="5">
        <f t="shared" si="23"/>
        <v>0</v>
      </c>
      <c r="AI83" s="5">
        <f t="shared" si="23"/>
        <v>0</v>
      </c>
      <c r="AJ83" s="5">
        <f t="shared" si="23"/>
        <v>0</v>
      </c>
      <c r="AK83" s="5">
        <f t="shared" si="23"/>
        <v>0</v>
      </c>
      <c r="AL83" s="5">
        <f t="shared" si="23"/>
        <v>0</v>
      </c>
      <c r="AM83" s="5">
        <f t="shared" si="23"/>
        <v>0</v>
      </c>
      <c r="AN83" s="5">
        <f t="shared" si="23"/>
        <v>0</v>
      </c>
      <c r="AO83" s="5">
        <f t="shared" si="23"/>
        <v>0</v>
      </c>
      <c r="AP83" s="5">
        <f t="shared" si="23"/>
        <v>0</v>
      </c>
      <c r="AQ83" s="5">
        <f t="shared" si="23"/>
        <v>0</v>
      </c>
      <c r="AR83" s="5">
        <f>T83*$C83</f>
        <v>0</v>
      </c>
    </row>
    <row r="84" spans="2:44" x14ac:dyDescent="0.25">
      <c r="B84" s="10" t="s">
        <v>205</v>
      </c>
      <c r="C84" s="98">
        <f>SUM(C68:C83)</f>
        <v>0.99999999999999989</v>
      </c>
      <c r="D84" s="10"/>
      <c r="E84" s="75">
        <f>AC84</f>
        <v>69.79144515331943</v>
      </c>
      <c r="F84" s="75">
        <f t="shared" ref="F84:T84" si="29">AD84</f>
        <v>80.734753679809771</v>
      </c>
      <c r="G84" s="75">
        <f t="shared" si="29"/>
        <v>32.085238650160484</v>
      </c>
      <c r="H84" s="75">
        <f t="shared" si="29"/>
        <v>-210.11663022996137</v>
      </c>
      <c r="I84" s="75">
        <f t="shared" si="29"/>
        <v>539.41925588414858</v>
      </c>
      <c r="J84" s="75">
        <f t="shared" si="29"/>
        <v>367.64371503175073</v>
      </c>
      <c r="K84" s="75">
        <f t="shared" si="29"/>
        <v>0.92226330536179568</v>
      </c>
      <c r="L84" s="75">
        <f t="shared" si="29"/>
        <v>0.62629219111470624</v>
      </c>
      <c r="M84" s="75">
        <f t="shared" si="29"/>
        <v>5.2213979973233071</v>
      </c>
      <c r="N84" s="75">
        <f t="shared" si="29"/>
        <v>13.338590405936909</v>
      </c>
      <c r="O84" s="84">
        <f t="shared" si="29"/>
        <v>2.4781703434968634</v>
      </c>
      <c r="P84" s="84">
        <f t="shared" si="29"/>
        <v>5.5044663162535148</v>
      </c>
      <c r="Q84" s="84">
        <f t="shared" si="29"/>
        <v>0.38516600426855935</v>
      </c>
      <c r="R84" s="75">
        <f t="shared" si="29"/>
        <v>0.54352831994363249</v>
      </c>
      <c r="S84" s="84">
        <f t="shared" si="29"/>
        <v>3845.8130522354595</v>
      </c>
      <c r="T84" s="75">
        <f t="shared" si="29"/>
        <v>107672.40307765755</v>
      </c>
      <c r="U84" s="84">
        <f>SUM(U72:U82)</f>
        <v>0.35053616885872479</v>
      </c>
      <c r="V84" s="66"/>
      <c r="W84" s="66"/>
      <c r="X84" s="66"/>
      <c r="Y84" s="66"/>
      <c r="Z84" s="66"/>
      <c r="AA84" s="66"/>
      <c r="AC84" s="5">
        <f>SUM(AC68:AC83)</f>
        <v>69.79144515331943</v>
      </c>
      <c r="AD84" s="5">
        <f t="shared" ref="AD84:AR84" si="30">SUM(AD68:AD83)</f>
        <v>80.734753679809771</v>
      </c>
      <c r="AE84" s="5">
        <f t="shared" si="30"/>
        <v>32.085238650160484</v>
      </c>
      <c r="AF84" s="5">
        <f t="shared" si="30"/>
        <v>-210.11663022996137</v>
      </c>
      <c r="AG84" s="5">
        <f t="shared" si="30"/>
        <v>539.41925588414858</v>
      </c>
      <c r="AH84" s="5">
        <f t="shared" si="30"/>
        <v>367.64371503175073</v>
      </c>
      <c r="AI84" s="5">
        <f t="shared" si="30"/>
        <v>0.92226330536179568</v>
      </c>
      <c r="AJ84" s="5">
        <f t="shared" si="30"/>
        <v>0.62629219111470624</v>
      </c>
      <c r="AK84" s="5">
        <f t="shared" si="30"/>
        <v>5.2213979973233071</v>
      </c>
      <c r="AL84" s="5">
        <f t="shared" si="30"/>
        <v>13.338590405936909</v>
      </c>
      <c r="AM84" s="5">
        <f t="shared" si="30"/>
        <v>2.4781703434968634</v>
      </c>
      <c r="AN84" s="5">
        <f t="shared" si="30"/>
        <v>5.5044663162535148</v>
      </c>
      <c r="AO84" s="5">
        <f t="shared" si="30"/>
        <v>0.38516600426855935</v>
      </c>
      <c r="AP84" s="5">
        <f t="shared" si="30"/>
        <v>0.54352831994363249</v>
      </c>
      <c r="AQ84" s="5">
        <f t="shared" si="30"/>
        <v>3845.8130522354595</v>
      </c>
      <c r="AR84" s="5">
        <f t="shared" si="30"/>
        <v>107672.40307765755</v>
      </c>
    </row>
  </sheetData>
  <mergeCells count="6">
    <mergeCell ref="L2:N2"/>
    <mergeCell ref="O2:P2"/>
    <mergeCell ref="L45:N45"/>
    <mergeCell ref="O45:P45"/>
    <mergeCell ref="L66:N66"/>
    <mergeCell ref="O66:P6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BBA3-907C-4911-895D-A92C057C507E}">
  <dimension ref="A1:O37"/>
  <sheetViews>
    <sheetView showGridLines="0" zoomScaleNormal="100" workbookViewId="0">
      <selection activeCell="K25" sqref="K25"/>
    </sheetView>
  </sheetViews>
  <sheetFormatPr defaultRowHeight="15" x14ac:dyDescent="0.25"/>
  <cols>
    <col min="2" max="2" width="11.85546875" customWidth="1"/>
    <col min="3" max="3" width="9.5703125" style="89" customWidth="1"/>
    <col min="4" max="4" width="9.7109375" style="89" customWidth="1"/>
    <col min="5" max="5" width="12.28515625" style="89" customWidth="1"/>
    <col min="6" max="6" width="11.7109375" style="89" customWidth="1"/>
    <col min="7" max="7" width="12.140625" style="89" customWidth="1"/>
    <col min="8" max="8" width="9.42578125" style="89" bestFit="1" customWidth="1"/>
    <col min="9" max="9" width="11.85546875" style="89" customWidth="1"/>
    <col min="10" max="10" width="8.7109375" style="89" customWidth="1"/>
    <col min="11" max="11" width="11.42578125" customWidth="1"/>
    <col min="12" max="12" width="9.42578125" bestFit="1" customWidth="1"/>
  </cols>
  <sheetData>
    <row r="1" spans="1:12" ht="26.25" x14ac:dyDescent="0.4">
      <c r="A1" s="240" t="s">
        <v>543</v>
      </c>
    </row>
    <row r="2" spans="1:12" x14ac:dyDescent="0.25">
      <c r="A2" s="241" t="s">
        <v>544</v>
      </c>
      <c r="G2" s="242" t="s">
        <v>545</v>
      </c>
    </row>
    <row r="3" spans="1:12" x14ac:dyDescent="0.25">
      <c r="A3" s="241"/>
    </row>
    <row r="4" spans="1:12" x14ac:dyDescent="0.25">
      <c r="A4" s="241"/>
      <c r="B4" s="243">
        <f>'Gathering Drwg'!E32*1000000/24/60/379</f>
        <v>366.46144825564346</v>
      </c>
      <c r="C4" s="242" t="s">
        <v>546</v>
      </c>
      <c r="G4" s="244"/>
      <c r="H4" s="89" t="s">
        <v>322</v>
      </c>
    </row>
    <row r="5" spans="1:12" x14ac:dyDescent="0.25">
      <c r="A5" s="241"/>
      <c r="B5" s="243">
        <f>'Booster Drwg'!M35</f>
        <v>80</v>
      </c>
      <c r="C5" s="242" t="s">
        <v>547</v>
      </c>
      <c r="G5" s="245"/>
      <c r="H5" t="s">
        <v>548</v>
      </c>
    </row>
    <row r="6" spans="1:12" x14ac:dyDescent="0.25">
      <c r="A6" s="241"/>
      <c r="B6" s="270">
        <f>'Booster Drwg'!M34+14.7</f>
        <v>452.2</v>
      </c>
      <c r="C6" s="242" t="s">
        <v>549</v>
      </c>
    </row>
    <row r="7" spans="1:12" x14ac:dyDescent="0.25">
      <c r="A7" s="241"/>
      <c r="B7" s="5"/>
      <c r="C7" s="242"/>
    </row>
    <row r="8" spans="1:12" ht="45" customHeight="1" x14ac:dyDescent="0.25">
      <c r="A8" s="246"/>
      <c r="B8" s="246"/>
      <c r="C8" s="247" t="s">
        <v>550</v>
      </c>
      <c r="D8" s="247" t="s">
        <v>551</v>
      </c>
      <c r="E8" s="247" t="s">
        <v>552</v>
      </c>
      <c r="F8" s="247" t="s">
        <v>553</v>
      </c>
      <c r="G8" s="247" t="s">
        <v>554</v>
      </c>
      <c r="H8" s="247" t="s">
        <v>555</v>
      </c>
      <c r="I8" s="247" t="s">
        <v>556</v>
      </c>
      <c r="J8" s="247" t="s">
        <v>557</v>
      </c>
    </row>
    <row r="9" spans="1:12" x14ac:dyDescent="0.25">
      <c r="A9">
        <v>1</v>
      </c>
      <c r="B9" s="5" t="s">
        <v>180</v>
      </c>
      <c r="C9" s="5">
        <f>'K values'!J26</f>
        <v>1.7413207916119766</v>
      </c>
      <c r="D9" s="5">
        <f>E9*$B$4</f>
        <v>5.9366754617414239</v>
      </c>
      <c r="E9" s="248">
        <f>'Design Basis'!B7</f>
        <v>1.6199999999999999E-2</v>
      </c>
      <c r="F9" s="5">
        <f t="shared" ref="F9:F19" si="0">E9*(C9-1)/(1+mL*(C9-1))</f>
        <v>6.9195128553206902E-3</v>
      </c>
      <c r="G9" s="249">
        <f t="shared" ref="G9:G19" si="1">I9*(1-mL)*$D$20</f>
        <v>2.6469949532072694E-2</v>
      </c>
      <c r="H9" s="249">
        <f>D9-G9</f>
        <v>5.9102055122093509</v>
      </c>
      <c r="I9" s="249">
        <f t="shared" ref="I9:I19" si="2">E9/(1-mL+mL*C9)</f>
        <v>9.3340331656885638E-3</v>
      </c>
      <c r="J9" s="249">
        <f>I9*C9</f>
        <v>1.6253546021009254E-2</v>
      </c>
    </row>
    <row r="10" spans="1:12" x14ac:dyDescent="0.25">
      <c r="A10">
        <v>2</v>
      </c>
      <c r="B10" s="5" t="s">
        <v>5</v>
      </c>
      <c r="C10" s="5">
        <f>'K values'!J27</f>
        <v>13.674621978321442</v>
      </c>
      <c r="D10" s="5">
        <f t="shared" ref="D10:D19" si="3">E10*$B$4</f>
        <v>1.8946056874816768</v>
      </c>
      <c r="E10" s="248">
        <f>'Design Basis'!B6</f>
        <v>5.1700000000000001E-3</v>
      </c>
      <c r="F10" s="5">
        <f t="shared" si="0"/>
        <v>4.826545856533377E-3</v>
      </c>
      <c r="G10" s="249">
        <f t="shared" si="1"/>
        <v>1.0799041123247784E-3</v>
      </c>
      <c r="H10" s="249">
        <f t="shared" ref="H10:H19" si="4">D10-G10</f>
        <v>1.893525783369352</v>
      </c>
      <c r="I10" s="249">
        <f t="shared" si="2"/>
        <v>3.8080392967842802E-4</v>
      </c>
      <c r="J10" s="249">
        <f t="shared" ref="J10:J19" si="5">I10*C10</f>
        <v>5.2073497862118049E-3</v>
      </c>
    </row>
    <row r="11" spans="1:12" x14ac:dyDescent="0.25">
      <c r="A11">
        <v>3</v>
      </c>
      <c r="B11" s="5" t="s">
        <v>6</v>
      </c>
      <c r="C11" s="5">
        <f>'K values'!J28</f>
        <v>6.3595189500337073</v>
      </c>
      <c r="D11" s="5">
        <f t="shared" si="3"/>
        <v>286.08934441456279</v>
      </c>
      <c r="E11" s="248">
        <f>'Design Basis'!B9</f>
        <v>0.78068060303845899</v>
      </c>
      <c r="F11" s="5">
        <f t="shared" si="0"/>
        <v>0.66224166151941355</v>
      </c>
      <c r="G11" s="249">
        <f t="shared" si="1"/>
        <v>0.35040836198965436</v>
      </c>
      <c r="H11" s="249">
        <f t="shared" si="4"/>
        <v>285.73893605257314</v>
      </c>
      <c r="I11" s="249">
        <f t="shared" si="2"/>
        <v>0.12356363839617521</v>
      </c>
      <c r="J11" s="249">
        <f t="shared" si="5"/>
        <v>0.78580529991558878</v>
      </c>
    </row>
    <row r="12" spans="1:12" x14ac:dyDescent="0.25">
      <c r="A12">
        <v>4</v>
      </c>
      <c r="B12" s="5" t="s">
        <v>558</v>
      </c>
      <c r="C12" s="5">
        <f>'K values'!J29</f>
        <v>1.2702150573411231</v>
      </c>
      <c r="D12" s="5">
        <f t="shared" si="3"/>
        <v>36.24303723248314</v>
      </c>
      <c r="E12" s="248">
        <f>'Design Basis'!B10</f>
        <v>9.8900000000000002E-2</v>
      </c>
      <c r="F12" s="5">
        <f t="shared" si="0"/>
        <v>2.1073860831302568E-2</v>
      </c>
      <c r="G12" s="249">
        <f t="shared" si="1"/>
        <v>0.22116598580464558</v>
      </c>
      <c r="H12" s="249">
        <f t="shared" si="4"/>
        <v>36.021871246678494</v>
      </c>
      <c r="I12" s="249">
        <f t="shared" si="2"/>
        <v>7.7989217324401908E-2</v>
      </c>
      <c r="J12" s="249">
        <f t="shared" si="5"/>
        <v>9.9063078155704476E-2</v>
      </c>
    </row>
    <row r="13" spans="1:12" x14ac:dyDescent="0.25">
      <c r="A13">
        <v>5</v>
      </c>
      <c r="B13" s="5" t="s">
        <v>8</v>
      </c>
      <c r="C13" s="5">
        <f>'K values'!J30</f>
        <v>0.37910029845514776</v>
      </c>
      <c r="D13" s="5">
        <f t="shared" si="3"/>
        <v>20.788715740917379</v>
      </c>
      <c r="E13" s="248">
        <f>'Design Basis'!B11</f>
        <v>5.6728247513815354E-2</v>
      </c>
      <c r="F13" s="5">
        <f t="shared" si="0"/>
        <v>-9.1748076035608889E-2</v>
      </c>
      <c r="G13" s="249">
        <f t="shared" si="1"/>
        <v>0.41904367353182204</v>
      </c>
      <c r="H13" s="249">
        <f t="shared" si="4"/>
        <v>20.369672067385558</v>
      </c>
      <c r="I13" s="249">
        <f t="shared" si="2"/>
        <v>0.14776633940607756</v>
      </c>
      <c r="J13" s="249">
        <f t="shared" si="5"/>
        <v>5.6018263370468661E-2</v>
      </c>
    </row>
    <row r="14" spans="1:12" x14ac:dyDescent="0.25">
      <c r="A14">
        <v>6</v>
      </c>
      <c r="B14" s="5" t="s">
        <v>9</v>
      </c>
      <c r="C14" s="5">
        <f>'K values'!J31</f>
        <v>0.16790067300257344</v>
      </c>
      <c r="D14" s="5">
        <f t="shared" si="3"/>
        <v>3.5953993735206371</v>
      </c>
      <c r="E14" s="248">
        <f>'Design Basis'!B12</f>
        <v>9.8111258104631154E-3</v>
      </c>
      <c r="F14" s="5">
        <f t="shared" si="0"/>
        <v>-4.6827123116196551E-2</v>
      </c>
      <c r="G14" s="249">
        <f t="shared" si="1"/>
        <v>0.15959014892494044</v>
      </c>
      <c r="H14" s="249">
        <f t="shared" si="4"/>
        <v>3.4358092245956966</v>
      </c>
      <c r="I14" s="249">
        <f t="shared" si="2"/>
        <v>5.6275881492620604E-2</v>
      </c>
      <c r="J14" s="249">
        <f t="shared" si="5"/>
        <v>9.4487583764240671E-3</v>
      </c>
    </row>
    <row r="15" spans="1:12" x14ac:dyDescent="0.25">
      <c r="A15">
        <v>7</v>
      </c>
      <c r="B15" s="5" t="s">
        <v>10</v>
      </c>
      <c r="C15" s="5">
        <f>'K values'!J32</f>
        <v>0.12579253298511997</v>
      </c>
      <c r="D15" s="5">
        <f t="shared" si="3"/>
        <v>5.1997066251595854</v>
      </c>
      <c r="E15" s="248">
        <f>'Design Basis'!B13</f>
        <v>1.4188959438735479E-2</v>
      </c>
      <c r="F15" s="5">
        <f t="shared" si="0"/>
        <v>-9.3575192233029431E-2</v>
      </c>
      <c r="G15" s="249">
        <f t="shared" si="1"/>
        <v>0.30354982712090489</v>
      </c>
      <c r="H15" s="249">
        <f t="shared" si="4"/>
        <v>4.8961567980386809</v>
      </c>
      <c r="I15" s="249">
        <f t="shared" si="2"/>
        <v>0.10704002855587216</v>
      </c>
      <c r="J15" s="249">
        <f t="shared" si="5"/>
        <v>1.3464836322842733E-2</v>
      </c>
      <c r="L15" s="4"/>
    </row>
    <row r="16" spans="1:12" x14ac:dyDescent="0.25">
      <c r="A16">
        <v>8</v>
      </c>
      <c r="B16" s="5" t="s">
        <v>237</v>
      </c>
      <c r="C16" s="5">
        <f>'K values'!J33</f>
        <v>5.8304390821593513E-2</v>
      </c>
      <c r="D16" s="5">
        <f t="shared" si="3"/>
        <v>2.2593265606361639</v>
      </c>
      <c r="E16" s="248">
        <f>'Design Basis'!B14</f>
        <v>6.1652503186639647E-3</v>
      </c>
      <c r="F16" s="5">
        <f t="shared" si="0"/>
        <v>-8.8514195108250454E-2</v>
      </c>
      <c r="G16" s="249">
        <f t="shared" si="1"/>
        <v>0.26655458219706818</v>
      </c>
      <c r="H16" s="249">
        <f t="shared" si="4"/>
        <v>1.9927719784390958</v>
      </c>
      <c r="I16" s="249">
        <f t="shared" si="2"/>
        <v>9.3994486377053196E-2</v>
      </c>
      <c r="J16" s="249">
        <f t="shared" si="5"/>
        <v>5.4802912688026572E-3</v>
      </c>
      <c r="L16" s="4"/>
    </row>
    <row r="17" spans="1:15" x14ac:dyDescent="0.25">
      <c r="A17">
        <v>9</v>
      </c>
      <c r="B17" s="5" t="s">
        <v>238</v>
      </c>
      <c r="C17" s="5">
        <f>'K values'!J34</f>
        <v>4.631636222847732E-2</v>
      </c>
      <c r="D17" s="5">
        <f t="shared" si="3"/>
        <v>3.1686919673806346</v>
      </c>
      <c r="E17" s="248">
        <f>'Design Basis'!B15</f>
        <v>8.6467266405882773E-3</v>
      </c>
      <c r="F17" s="5">
        <f t="shared" si="0"/>
        <v>-0.15357171845513762</v>
      </c>
      <c r="G17" s="249">
        <f t="shared" si="1"/>
        <v>0.45665759597875338</v>
      </c>
      <c r="H17" s="249">
        <f t="shared" si="4"/>
        <v>2.7120343714018813</v>
      </c>
      <c r="I17" s="249">
        <f t="shared" si="2"/>
        <v>0.16103004431741078</v>
      </c>
      <c r="J17" s="249">
        <f t="shared" si="5"/>
        <v>7.4583258622729536E-3</v>
      </c>
      <c r="L17" s="4"/>
      <c r="M17" s="4"/>
    </row>
    <row r="18" spans="1:15" x14ac:dyDescent="0.25">
      <c r="A18">
        <v>10</v>
      </c>
      <c r="B18" s="5" t="s">
        <v>226</v>
      </c>
      <c r="C18" s="5">
        <f>'K values'!J35</f>
        <v>2.0692282144795772E-2</v>
      </c>
      <c r="D18" s="5">
        <f t="shared" si="3"/>
        <v>0.84939493496653407</v>
      </c>
      <c r="E18" s="248">
        <f>'Design Basis'!B16</f>
        <v>2.3178288985366783E-3</v>
      </c>
      <c r="F18" s="5">
        <f t="shared" si="0"/>
        <v>-8.0290848782783794E-2</v>
      </c>
      <c r="G18" s="249">
        <f t="shared" si="1"/>
        <v>0.23250411592947925</v>
      </c>
      <c r="H18" s="249">
        <f t="shared" si="4"/>
        <v>0.61689081903705478</v>
      </c>
      <c r="I18" s="249">
        <f t="shared" si="2"/>
        <v>8.1987354249213912E-2</v>
      </c>
      <c r="J18" s="249">
        <f t="shared" si="5"/>
        <v>1.6965054664300548E-3</v>
      </c>
      <c r="L18" s="4"/>
    </row>
    <row r="19" spans="1:15" ht="15.75" thickBot="1" x14ac:dyDescent="0.3">
      <c r="A19">
        <v>11</v>
      </c>
      <c r="B19" s="5" t="s">
        <v>559</v>
      </c>
      <c r="C19" s="5">
        <f>'K values'!J36</f>
        <v>7.9978409695119794E-4</v>
      </c>
      <c r="D19" s="5">
        <f t="shared" si="3"/>
        <v>0.43975373790677214</v>
      </c>
      <c r="E19" s="248">
        <f>'Design Basis'!B17</f>
        <v>1.1999999999999999E-3</v>
      </c>
      <c r="F19" s="5">
        <f t="shared" si="0"/>
        <v>-0.14053442124248755</v>
      </c>
      <c r="G19" s="249">
        <f t="shared" si="1"/>
        <v>0.39885401103541618</v>
      </c>
      <c r="H19" s="249">
        <f t="shared" si="4"/>
        <v>4.0899726871355957E-2</v>
      </c>
      <c r="I19" s="249">
        <f t="shared" si="2"/>
        <v>0.14064690840311431</v>
      </c>
      <c r="J19" s="249">
        <f t="shared" si="5"/>
        <v>1.1248716062616263E-4</v>
      </c>
      <c r="L19" s="4"/>
    </row>
    <row r="20" spans="1:15" ht="15.75" thickBot="1" x14ac:dyDescent="0.3">
      <c r="B20" s="4"/>
      <c r="C20" s="250" t="s">
        <v>560</v>
      </c>
      <c r="D20" s="251">
        <f t="shared" ref="D20:J20" si="6">SUM(D9:D19)</f>
        <v>366.46465173675676</v>
      </c>
      <c r="E20" s="252">
        <f t="shared" si="6"/>
        <v>1.0000087416592618</v>
      </c>
      <c r="F20" s="253">
        <f t="shared" si="6"/>
        <v>6.0890759656651028E-9</v>
      </c>
      <c r="G20" s="252">
        <f t="shared" si="6"/>
        <v>2.8358781561570821</v>
      </c>
      <c r="H20" s="252">
        <f t="shared" si="6"/>
        <v>363.62877358059973</v>
      </c>
      <c r="I20" s="252">
        <f t="shared" si="6"/>
        <v>1.0000087356173066</v>
      </c>
      <c r="J20" s="254">
        <f t="shared" si="6"/>
        <v>1.0000087417063817</v>
      </c>
      <c r="L20" s="255"/>
      <c r="M20" s="255"/>
      <c r="N20" s="255"/>
      <c r="O20" s="255"/>
    </row>
    <row r="21" spans="1:15" x14ac:dyDescent="0.25">
      <c r="L21" s="255"/>
      <c r="M21" s="255"/>
      <c r="N21" s="255"/>
      <c r="O21" s="255"/>
    </row>
    <row r="22" spans="1:15" x14ac:dyDescent="0.25">
      <c r="L22" s="255"/>
      <c r="M22" s="255"/>
      <c r="N22" s="255"/>
      <c r="O22" s="255"/>
    </row>
    <row r="23" spans="1:15" ht="45" x14ac:dyDescent="0.25">
      <c r="E23" s="256" t="s">
        <v>561</v>
      </c>
      <c r="F23" s="257">
        <v>0.99226159093438493</v>
      </c>
      <c r="G23" s="304" t="s">
        <v>562</v>
      </c>
      <c r="H23" s="304"/>
      <c r="I23" s="304"/>
      <c r="L23" s="255"/>
      <c r="M23" s="255"/>
      <c r="N23" s="255"/>
      <c r="O23" s="255"/>
    </row>
    <row r="24" spans="1:15" x14ac:dyDescent="0.25">
      <c r="L24" s="255"/>
      <c r="M24" s="255"/>
      <c r="N24" s="255"/>
      <c r="O24" s="255"/>
    </row>
    <row r="25" spans="1:15" x14ac:dyDescent="0.25">
      <c r="B25" t="s">
        <v>563</v>
      </c>
      <c r="L25" s="255"/>
      <c r="M25" s="255"/>
      <c r="N25" s="255"/>
      <c r="O25" s="255"/>
    </row>
    <row r="26" spans="1:15" x14ac:dyDescent="0.25">
      <c r="L26" s="255"/>
      <c r="M26" s="255"/>
      <c r="N26" s="255"/>
      <c r="O26" s="255"/>
    </row>
    <row r="27" spans="1:15" x14ac:dyDescent="0.25">
      <c r="L27" s="255"/>
      <c r="M27" s="255"/>
      <c r="N27" s="255"/>
      <c r="O27" s="255"/>
    </row>
    <row r="28" spans="1:15" ht="15" customHeight="1" x14ac:dyDescent="0.25">
      <c r="L28" s="255"/>
      <c r="M28" s="255"/>
      <c r="N28" s="255"/>
      <c r="O28" s="255"/>
    </row>
    <row r="30" spans="1:15" x14ac:dyDescent="0.25">
      <c r="B30" t="s">
        <v>564</v>
      </c>
    </row>
    <row r="33" spans="1:6" ht="16.5" x14ac:dyDescent="0.25">
      <c r="A33" s="258"/>
      <c r="D33" s="259" t="s">
        <v>565</v>
      </c>
    </row>
    <row r="34" spans="1:6" x14ac:dyDescent="0.25">
      <c r="A34" s="258"/>
      <c r="D34" s="260" t="s">
        <v>566</v>
      </c>
    </row>
    <row r="36" spans="1:6" x14ac:dyDescent="0.25">
      <c r="D36" s="242" t="s">
        <v>567</v>
      </c>
      <c r="F36" s="89" t="s">
        <v>568</v>
      </c>
    </row>
    <row r="37" spans="1:6" x14ac:dyDescent="0.25">
      <c r="D37" s="242" t="s">
        <v>569</v>
      </c>
    </row>
  </sheetData>
  <mergeCells count="1">
    <mergeCell ref="G23:I23"/>
  </mergeCells>
  <hyperlinks>
    <hyperlink ref="A2" r:id="rId1" xr:uid="{04FDAFAB-59BE-406D-955C-F58C382538BD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655E-D089-44BD-8E05-20E7517FF547}">
  <dimension ref="B1:N39"/>
  <sheetViews>
    <sheetView workbookViewId="0">
      <selection activeCell="K25" sqref="K25"/>
    </sheetView>
  </sheetViews>
  <sheetFormatPr defaultRowHeight="15" x14ac:dyDescent="0.25"/>
  <cols>
    <col min="1" max="1" width="3.5703125" customWidth="1"/>
    <col min="2" max="2" width="8.7109375" style="89"/>
    <col min="3" max="3" width="10.42578125" customWidth="1"/>
  </cols>
  <sheetData>
    <row r="1" spans="2:14" ht="21" x14ac:dyDescent="0.35">
      <c r="C1" s="261" t="s">
        <v>570</v>
      </c>
    </row>
    <row r="2" spans="2:14" x14ac:dyDescent="0.25">
      <c r="D2" t="s">
        <v>571</v>
      </c>
    </row>
    <row r="4" spans="2:14" x14ac:dyDescent="0.25">
      <c r="B4" s="96"/>
      <c r="C4" s="262" t="s">
        <v>572</v>
      </c>
      <c r="D4" s="125"/>
      <c r="E4" s="125"/>
      <c r="F4" s="125"/>
      <c r="G4" s="125"/>
      <c r="H4" s="125"/>
      <c r="J4" s="263" t="s">
        <v>573</v>
      </c>
      <c r="K4" s="212"/>
      <c r="L4" s="212"/>
      <c r="M4" s="212"/>
      <c r="N4" s="212"/>
    </row>
    <row r="5" spans="2:14" x14ac:dyDescent="0.25">
      <c r="B5" s="96"/>
      <c r="C5" s="125"/>
      <c r="D5" s="125"/>
      <c r="E5" s="125"/>
      <c r="F5" s="125"/>
      <c r="G5" s="125"/>
      <c r="H5" s="125"/>
      <c r="J5" s="212"/>
      <c r="K5" s="212"/>
      <c r="L5" s="212"/>
      <c r="M5" s="212"/>
      <c r="N5" s="212"/>
    </row>
    <row r="6" spans="2:14" ht="18" x14ac:dyDescent="0.35">
      <c r="B6" s="96"/>
      <c r="C6" s="264" t="s">
        <v>574</v>
      </c>
      <c r="D6" s="125"/>
      <c r="E6" s="125"/>
      <c r="F6" s="125"/>
      <c r="G6" s="125"/>
      <c r="H6" s="125"/>
      <c r="J6" s="265" t="s">
        <v>575</v>
      </c>
      <c r="K6" s="212"/>
      <c r="L6" s="212"/>
      <c r="M6" s="212"/>
      <c r="N6" s="212"/>
    </row>
    <row r="7" spans="2:14" x14ac:dyDescent="0.25">
      <c r="B7" s="96"/>
      <c r="C7" s="264"/>
      <c r="D7" s="125"/>
      <c r="E7" s="125"/>
      <c r="F7" s="125"/>
      <c r="G7" s="125"/>
      <c r="H7" s="125"/>
      <c r="J7" s="265"/>
      <c r="K7" s="212"/>
      <c r="L7" s="212"/>
      <c r="M7" s="212"/>
      <c r="N7" s="212"/>
    </row>
    <row r="8" spans="2:14" ht="18" x14ac:dyDescent="0.35">
      <c r="B8" s="96"/>
      <c r="C8" s="264" t="s">
        <v>576</v>
      </c>
      <c r="D8" s="125"/>
      <c r="E8" s="125"/>
      <c r="F8" s="125"/>
      <c r="G8" s="125"/>
      <c r="H8" s="125"/>
      <c r="J8" s="265" t="s">
        <v>577</v>
      </c>
      <c r="K8" s="212"/>
      <c r="L8" s="212"/>
      <c r="M8" s="212"/>
      <c r="N8" s="212"/>
    </row>
    <row r="9" spans="2:14" x14ac:dyDescent="0.25">
      <c r="B9" s="96">
        <f>460+Flash!B5</f>
        <v>540</v>
      </c>
      <c r="C9" s="264" t="s">
        <v>578</v>
      </c>
      <c r="D9" s="125"/>
      <c r="E9" s="125"/>
      <c r="F9" s="125"/>
      <c r="G9" s="125"/>
      <c r="H9" s="125"/>
      <c r="J9" s="265" t="s">
        <v>578</v>
      </c>
      <c r="K9" s="212"/>
      <c r="L9" s="212"/>
      <c r="M9" s="212"/>
      <c r="N9" s="212"/>
    </row>
    <row r="10" spans="2:14" ht="18" x14ac:dyDescent="0.35">
      <c r="B10" s="96"/>
      <c r="C10" s="264" t="s">
        <v>579</v>
      </c>
      <c r="D10" s="125"/>
      <c r="E10" s="125"/>
      <c r="F10" s="125"/>
      <c r="G10" s="125"/>
      <c r="H10" s="125"/>
      <c r="J10" s="265" t="s">
        <v>579</v>
      </c>
      <c r="K10" s="212"/>
      <c r="L10" s="212"/>
      <c r="M10" s="212"/>
      <c r="N10" s="212"/>
    </row>
    <row r="11" spans="2:14" x14ac:dyDescent="0.25">
      <c r="B11" s="96">
        <f>Flash!B6</f>
        <v>452.2</v>
      </c>
      <c r="C11" s="264" t="s">
        <v>580</v>
      </c>
      <c r="D11" s="125"/>
      <c r="E11" s="125"/>
      <c r="F11" s="125"/>
      <c r="G11" s="125"/>
      <c r="H11" s="125"/>
      <c r="J11" s="265" t="s">
        <v>581</v>
      </c>
      <c r="K11" s="212"/>
      <c r="L11" s="212"/>
      <c r="M11" s="212"/>
      <c r="N11" s="212"/>
    </row>
    <row r="12" spans="2:14" ht="18" x14ac:dyDescent="0.35">
      <c r="B12" s="96"/>
      <c r="C12" s="264" t="s">
        <v>582</v>
      </c>
      <c r="D12" s="125"/>
      <c r="E12" s="125"/>
      <c r="F12" s="125"/>
      <c r="G12" s="125"/>
      <c r="H12" s="125"/>
      <c r="J12" s="265" t="s">
        <v>582</v>
      </c>
      <c r="K12" s="212"/>
      <c r="L12" s="212"/>
      <c r="M12" s="212"/>
      <c r="N12" s="212"/>
    </row>
    <row r="13" spans="2:14" ht="18" x14ac:dyDescent="0.35">
      <c r="B13" s="96"/>
      <c r="C13" s="264" t="s">
        <v>583</v>
      </c>
      <c r="D13" s="125"/>
      <c r="E13" s="125"/>
      <c r="F13" s="125"/>
      <c r="G13" s="125"/>
      <c r="H13" s="125"/>
    </row>
    <row r="14" spans="2:14" x14ac:dyDescent="0.25">
      <c r="B14" s="96"/>
      <c r="C14" s="264" t="s">
        <v>584</v>
      </c>
      <c r="D14" s="125"/>
      <c r="E14" s="125"/>
      <c r="F14" s="125"/>
      <c r="G14" s="125"/>
      <c r="H14" s="125"/>
    </row>
    <row r="15" spans="2:14" x14ac:dyDescent="0.25">
      <c r="B15" s="96"/>
      <c r="C15" s="264"/>
      <c r="D15" s="125"/>
      <c r="E15" s="125"/>
      <c r="F15" s="125"/>
      <c r="G15" s="125"/>
      <c r="H15" s="125"/>
    </row>
    <row r="16" spans="2:14" ht="17.25" x14ac:dyDescent="0.25">
      <c r="B16" s="96">
        <f>1.2+0.00045*B11+15*10^-8*B11^2</f>
        <v>1.4341627259999998</v>
      </c>
      <c r="C16" s="264" t="s">
        <v>585</v>
      </c>
      <c r="D16" s="125"/>
      <c r="E16" s="125"/>
      <c r="F16" s="125"/>
      <c r="G16" s="125"/>
      <c r="H16" s="125"/>
    </row>
    <row r="17" spans="2:11" ht="17.25" x14ac:dyDescent="0.25">
      <c r="B17" s="96">
        <f>0.89-0.00017*B11-3.5*10^-8*B11^2</f>
        <v>0.80596903060000002</v>
      </c>
      <c r="C17" s="264" t="s">
        <v>586</v>
      </c>
      <c r="D17" s="125"/>
      <c r="E17" s="125"/>
      <c r="F17" s="125"/>
      <c r="G17" s="125"/>
      <c r="H17" s="125"/>
    </row>
    <row r="18" spans="2:11" x14ac:dyDescent="0.25">
      <c r="B18" s="96">
        <f>7.3+0.0075*150+0.0016*1000</f>
        <v>10.025</v>
      </c>
      <c r="C18" s="264" t="s">
        <v>587</v>
      </c>
      <c r="D18" s="125"/>
      <c r="E18" s="125"/>
      <c r="F18" s="125"/>
      <c r="G18" s="125"/>
      <c r="H18" s="125"/>
    </row>
    <row r="19" spans="2:11" x14ac:dyDescent="0.25">
      <c r="B19" s="96">
        <f>1013+324*B18-4.256*B18^2</f>
        <v>3833.3693400000002</v>
      </c>
      <c r="C19" s="264" t="s">
        <v>588</v>
      </c>
      <c r="D19" s="125"/>
      <c r="E19" s="125"/>
      <c r="F19" s="125"/>
      <c r="G19" s="125"/>
      <c r="H19" s="125"/>
    </row>
    <row r="20" spans="2:11" ht="18" x14ac:dyDescent="0.35">
      <c r="B20" s="96">
        <f>301+59.85*B18-0.971*B18^2</f>
        <v>803.41014312499999</v>
      </c>
      <c r="C20" s="264" t="s">
        <v>589</v>
      </c>
      <c r="D20" s="125"/>
      <c r="E20" s="125"/>
      <c r="F20" s="125"/>
      <c r="G20" s="125"/>
      <c r="H20" s="125"/>
    </row>
    <row r="22" spans="2:11" x14ac:dyDescent="0.25">
      <c r="D22" t="s">
        <v>590</v>
      </c>
    </row>
    <row r="24" spans="2:11" x14ac:dyDescent="0.25">
      <c r="C24" s="266"/>
      <c r="D24" s="266"/>
      <c r="E24" s="266"/>
      <c r="F24" s="266"/>
      <c r="G24" s="266"/>
      <c r="H24" s="266"/>
      <c r="I24" s="266"/>
      <c r="J24" s="267" t="s">
        <v>591</v>
      </c>
      <c r="K24" s="267" t="s">
        <v>592</v>
      </c>
    </row>
    <row r="25" spans="2:11" ht="18" x14ac:dyDescent="0.25">
      <c r="C25" s="268" t="s">
        <v>593</v>
      </c>
      <c r="D25" s="268" t="s">
        <v>594</v>
      </c>
      <c r="E25" s="268" t="s">
        <v>595</v>
      </c>
      <c r="F25" s="268" t="s">
        <v>596</v>
      </c>
      <c r="G25" s="268" t="s">
        <v>597</v>
      </c>
      <c r="H25" s="268" t="s">
        <v>598</v>
      </c>
      <c r="I25" s="268" t="s">
        <v>599</v>
      </c>
      <c r="J25" s="268" t="s">
        <v>600</v>
      </c>
      <c r="K25" s="268" t="s">
        <v>600</v>
      </c>
    </row>
    <row r="26" spans="2:11" x14ac:dyDescent="0.25">
      <c r="C26" s="269" t="s">
        <v>180</v>
      </c>
      <c r="D26" s="269">
        <v>1071</v>
      </c>
      <c r="E26" s="269">
        <v>547.9</v>
      </c>
      <c r="F26" s="269">
        <v>0.22500000000000001</v>
      </c>
      <c r="G26" s="269">
        <f>(LOG(D26/14.7))/((1/H26)-(1/E26))</f>
        <v>1814.4755813039849</v>
      </c>
      <c r="H26" s="269">
        <f>460-109.32</f>
        <v>350.68</v>
      </c>
      <c r="I26" s="269">
        <f t="shared" ref="I26:I36" si="0">G26*(1/H26-1/$B$9)</f>
        <v>1.8140233211056105</v>
      </c>
      <c r="J26" s="269">
        <f t="shared" ref="J26:J36" si="1">1/$B$11*10^($B$16+$B$17*I26)</f>
        <v>1.7413207916119766</v>
      </c>
      <c r="K26" s="269">
        <f t="shared" ref="K26:K36" si="2">D26/$B$11*EXP(5.37*(1+F26)*(1-E26/$B$9))</f>
        <v>2.1511146496499758</v>
      </c>
    </row>
    <row r="27" spans="2:11" x14ac:dyDescent="0.25">
      <c r="C27" s="269" t="s">
        <v>5</v>
      </c>
      <c r="D27" s="269">
        <v>493</v>
      </c>
      <c r="E27" s="269">
        <v>227.6</v>
      </c>
      <c r="F27" s="269">
        <v>0.04</v>
      </c>
      <c r="G27" s="269">
        <f t="shared" ref="G27:G35" si="3">(LOG(D27/14.7))/((1/H27)-(1/E27))</f>
        <v>550.39416227533729</v>
      </c>
      <c r="H27" s="269">
        <f>460-320.44</f>
        <v>139.56</v>
      </c>
      <c r="I27" s="269">
        <f t="shared" si="0"/>
        <v>2.9245331669577412</v>
      </c>
      <c r="J27" s="269">
        <f t="shared" si="1"/>
        <v>13.674621978321442</v>
      </c>
      <c r="K27" s="269">
        <f t="shared" si="2"/>
        <v>27.585625902382805</v>
      </c>
    </row>
    <row r="28" spans="2:11" x14ac:dyDescent="0.25">
      <c r="C28" s="269" t="s">
        <v>6</v>
      </c>
      <c r="D28" s="269">
        <v>667.8</v>
      </c>
      <c r="E28" s="269">
        <v>343.37</v>
      </c>
      <c r="F28" s="269">
        <v>1.04E-2</v>
      </c>
      <c r="G28" s="269">
        <f t="shared" si="3"/>
        <v>805.94225857765423</v>
      </c>
      <c r="H28" s="269">
        <f>460-258.74</f>
        <v>201.26</v>
      </c>
      <c r="I28" s="269">
        <f t="shared" si="0"/>
        <v>2.5119973856426236</v>
      </c>
      <c r="J28" s="269">
        <f t="shared" si="1"/>
        <v>6.3595189500337073</v>
      </c>
      <c r="K28" s="269">
        <f t="shared" si="2"/>
        <v>10.650173576998656</v>
      </c>
    </row>
    <row r="29" spans="2:11" x14ac:dyDescent="0.25">
      <c r="C29" s="269" t="s">
        <v>7</v>
      </c>
      <c r="D29" s="269">
        <v>707.8</v>
      </c>
      <c r="E29" s="269">
        <v>550.09</v>
      </c>
      <c r="F29" s="269">
        <v>9.8599999999999993E-2</v>
      </c>
      <c r="G29" s="269">
        <f t="shared" si="3"/>
        <v>1135.0117164691694</v>
      </c>
      <c r="H29" s="269">
        <v>303</v>
      </c>
      <c r="I29" s="269">
        <f t="shared" si="0"/>
        <v>1.644039706656846</v>
      </c>
      <c r="J29" s="269">
        <f t="shared" si="1"/>
        <v>1.2702150573411231</v>
      </c>
      <c r="K29" s="269">
        <f t="shared" si="2"/>
        <v>1.4018658431344964</v>
      </c>
    </row>
    <row r="30" spans="2:11" x14ac:dyDescent="0.25">
      <c r="C30" s="269" t="s">
        <v>8</v>
      </c>
      <c r="D30" s="269">
        <v>616.29999999999995</v>
      </c>
      <c r="E30" s="269">
        <v>666.01</v>
      </c>
      <c r="F30" s="269">
        <v>0.1542</v>
      </c>
      <c r="G30" s="269">
        <f t="shared" si="3"/>
        <v>1798.0206264633593</v>
      </c>
      <c r="H30" s="269">
        <v>416</v>
      </c>
      <c r="I30" s="269">
        <f t="shared" si="0"/>
        <v>0.9924971406759997</v>
      </c>
      <c r="J30" s="269">
        <f t="shared" si="1"/>
        <v>0.37910029845514776</v>
      </c>
      <c r="K30" s="269">
        <f t="shared" si="2"/>
        <v>0.32087036632166499</v>
      </c>
    </row>
    <row r="31" spans="2:11" x14ac:dyDescent="0.25">
      <c r="C31" s="269" t="s">
        <v>9</v>
      </c>
      <c r="D31" s="269">
        <v>529.1</v>
      </c>
      <c r="E31" s="269">
        <v>734.98</v>
      </c>
      <c r="F31" s="269">
        <v>0.18479999999999999</v>
      </c>
      <c r="G31" s="269">
        <f t="shared" si="3"/>
        <v>2040.7815321227265</v>
      </c>
      <c r="H31" s="269">
        <v>471</v>
      </c>
      <c r="I31" s="269">
        <f t="shared" si="0"/>
        <v>0.55364443546617936</v>
      </c>
      <c r="J31" s="269">
        <f t="shared" si="1"/>
        <v>0.16790067300257344</v>
      </c>
      <c r="K31" s="269">
        <f t="shared" si="2"/>
        <v>0.117627064105339</v>
      </c>
    </row>
    <row r="32" spans="2:11" x14ac:dyDescent="0.25">
      <c r="C32" s="269" t="s">
        <v>10</v>
      </c>
      <c r="D32" s="269">
        <v>550.70000000000005</v>
      </c>
      <c r="E32" s="269">
        <v>765.65</v>
      </c>
      <c r="F32" s="269">
        <v>0.20100000000000001</v>
      </c>
      <c r="G32" s="269">
        <f t="shared" si="3"/>
        <v>2153.9018004018026</v>
      </c>
      <c r="H32" s="269">
        <v>491</v>
      </c>
      <c r="I32" s="269">
        <f t="shared" si="0"/>
        <v>0.39805833981929611</v>
      </c>
      <c r="J32" s="269">
        <f t="shared" si="1"/>
        <v>0.12579253298511997</v>
      </c>
      <c r="K32" s="269">
        <f t="shared" si="2"/>
        <v>8.2254679763792929E-2</v>
      </c>
    </row>
    <row r="33" spans="3:11" x14ac:dyDescent="0.25">
      <c r="C33" s="269" t="s">
        <v>237</v>
      </c>
      <c r="D33" s="269">
        <v>490.4</v>
      </c>
      <c r="E33" s="269">
        <v>829.1</v>
      </c>
      <c r="F33" s="269">
        <v>0.2223</v>
      </c>
      <c r="G33" s="269">
        <f t="shared" si="3"/>
        <v>2384.1818923232349</v>
      </c>
      <c r="H33" s="269">
        <v>542</v>
      </c>
      <c r="I33" s="269">
        <f t="shared" si="0"/>
        <v>-1.6292072518267583E-2</v>
      </c>
      <c r="J33" s="269">
        <f t="shared" si="1"/>
        <v>5.8304390821593513E-2</v>
      </c>
      <c r="K33" s="269">
        <f t="shared" si="2"/>
        <v>3.2291831382550637E-2</v>
      </c>
    </row>
    <row r="34" spans="3:11" x14ac:dyDescent="0.25">
      <c r="C34" s="269" t="s">
        <v>238</v>
      </c>
      <c r="D34" s="269">
        <v>488.6</v>
      </c>
      <c r="E34" s="269">
        <v>845.7</v>
      </c>
      <c r="F34" s="269">
        <v>0.25390000000000001</v>
      </c>
      <c r="G34" s="269">
        <f t="shared" si="3"/>
        <v>2482.7646486292138</v>
      </c>
      <c r="H34" s="269">
        <v>557</v>
      </c>
      <c r="I34" s="269">
        <f t="shared" si="0"/>
        <v>-0.14032515136211396</v>
      </c>
      <c r="J34" s="269">
        <f t="shared" si="1"/>
        <v>4.631636222847732E-2</v>
      </c>
      <c r="K34" s="269">
        <f t="shared" si="2"/>
        <v>2.3886130570365406E-2</v>
      </c>
    </row>
    <row r="35" spans="3:11" x14ac:dyDescent="0.25">
      <c r="C35" s="269" t="s">
        <v>226</v>
      </c>
      <c r="D35" s="269">
        <v>436.9</v>
      </c>
      <c r="E35" s="269">
        <v>913.7</v>
      </c>
      <c r="F35" s="269">
        <v>0.30070000000000002</v>
      </c>
      <c r="G35" s="269">
        <f t="shared" si="3"/>
        <v>2703.401144385748</v>
      </c>
      <c r="H35" s="269">
        <v>610</v>
      </c>
      <c r="I35" s="269">
        <f t="shared" si="0"/>
        <v>-0.57449326079842877</v>
      </c>
      <c r="J35" s="269">
        <f t="shared" si="1"/>
        <v>2.0692282144795772E-2</v>
      </c>
      <c r="K35" s="269">
        <f t="shared" si="2"/>
        <v>7.6877114028932369E-3</v>
      </c>
    </row>
    <row r="36" spans="3:11" x14ac:dyDescent="0.25">
      <c r="C36" s="269" t="s">
        <v>559</v>
      </c>
      <c r="D36" s="269">
        <v>320.3</v>
      </c>
      <c r="E36" s="269">
        <v>1139.4000000000001</v>
      </c>
      <c r="F36" s="269">
        <v>0.50690000000000002</v>
      </c>
      <c r="G36" s="269">
        <f>B19</f>
        <v>3833.3693400000002</v>
      </c>
      <c r="H36" s="269">
        <v>803.41</v>
      </c>
      <c r="I36" s="269">
        <f t="shared" si="0"/>
        <v>-2.3274584164844572</v>
      </c>
      <c r="J36" s="269">
        <f t="shared" si="1"/>
        <v>7.9978409695119794E-4</v>
      </c>
      <c r="K36" s="269">
        <f t="shared" si="2"/>
        <v>8.8984769398658175E-5</v>
      </c>
    </row>
    <row r="39" spans="3:11" x14ac:dyDescent="0.25">
      <c r="C39" s="242" t="s">
        <v>601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756D-91FD-47B4-B1DA-4DDD2CACBD7C}">
  <dimension ref="A1:O37"/>
  <sheetViews>
    <sheetView showGridLines="0" zoomScaleNormal="100" workbookViewId="0">
      <selection activeCell="M25" sqref="M25"/>
    </sheetView>
  </sheetViews>
  <sheetFormatPr defaultRowHeight="15" x14ac:dyDescent="0.25"/>
  <cols>
    <col min="2" max="2" width="11.85546875" customWidth="1"/>
    <col min="3" max="3" width="9.5703125" style="89" customWidth="1"/>
    <col min="4" max="4" width="9.7109375" style="89" customWidth="1"/>
    <col min="5" max="5" width="12.28515625" style="89" customWidth="1"/>
    <col min="6" max="6" width="11.7109375" style="89" customWidth="1"/>
    <col min="7" max="7" width="12.140625" style="89" customWidth="1"/>
    <col min="8" max="8" width="9.42578125" style="89" bestFit="1" customWidth="1"/>
    <col min="9" max="9" width="11.85546875" style="89" customWidth="1"/>
    <col min="10" max="10" width="8.7109375" style="89" customWidth="1"/>
    <col min="11" max="11" width="11.42578125" customWidth="1"/>
    <col min="12" max="12" width="9.42578125" bestFit="1" customWidth="1"/>
  </cols>
  <sheetData>
    <row r="1" spans="1:12" ht="26.25" x14ac:dyDescent="0.4">
      <c r="A1" s="240" t="s">
        <v>543</v>
      </c>
    </row>
    <row r="2" spans="1:12" x14ac:dyDescent="0.25">
      <c r="A2" s="241" t="s">
        <v>544</v>
      </c>
      <c r="G2" s="242" t="s">
        <v>545</v>
      </c>
    </row>
    <row r="3" spans="1:12" x14ac:dyDescent="0.25">
      <c r="A3" s="241"/>
    </row>
    <row r="4" spans="1:12" x14ac:dyDescent="0.25">
      <c r="A4" s="241"/>
      <c r="B4" s="243">
        <f>'Gathering Drwg'!E32*1000000/24/60/379</f>
        <v>366.46144825564346</v>
      </c>
      <c r="C4" s="242" t="s">
        <v>546</v>
      </c>
      <c r="G4" s="244"/>
      <c r="H4" s="89" t="s">
        <v>322</v>
      </c>
    </row>
    <row r="5" spans="1:12" x14ac:dyDescent="0.25">
      <c r="A5" s="241"/>
      <c r="B5" s="243">
        <f>'Gathering Drwg'!F35</f>
        <v>70</v>
      </c>
      <c r="C5" s="242" t="s">
        <v>547</v>
      </c>
      <c r="G5" s="245"/>
      <c r="H5" t="s">
        <v>548</v>
      </c>
    </row>
    <row r="6" spans="1:12" x14ac:dyDescent="0.25">
      <c r="A6" s="241"/>
      <c r="B6" s="270">
        <f>'Gathering Drwg'!F34+14.7</f>
        <v>39.700000000000003</v>
      </c>
      <c r="C6" s="242" t="s">
        <v>549</v>
      </c>
    </row>
    <row r="7" spans="1:12" x14ac:dyDescent="0.25">
      <c r="A7" s="241"/>
      <c r="B7" s="5"/>
      <c r="C7" s="242"/>
    </row>
    <row r="8" spans="1:12" ht="45" customHeight="1" x14ac:dyDescent="0.25">
      <c r="A8" s="246"/>
      <c r="B8" s="246"/>
      <c r="C8" s="247" t="s">
        <v>550</v>
      </c>
      <c r="D8" s="247" t="s">
        <v>551</v>
      </c>
      <c r="E8" s="247" t="s">
        <v>552</v>
      </c>
      <c r="F8" s="247" t="s">
        <v>553</v>
      </c>
      <c r="G8" s="247" t="s">
        <v>554</v>
      </c>
      <c r="H8" s="247" t="s">
        <v>555</v>
      </c>
      <c r="I8" s="247" t="s">
        <v>556</v>
      </c>
      <c r="J8" s="247" t="s">
        <v>557</v>
      </c>
    </row>
    <row r="9" spans="1:12" x14ac:dyDescent="0.25">
      <c r="A9">
        <v>1</v>
      </c>
      <c r="B9" s="5" t="s">
        <v>180</v>
      </c>
      <c r="C9" s="5">
        <f>'K values (2)'!J26</f>
        <v>14.637103246592988</v>
      </c>
      <c r="D9" s="5">
        <f>E9*$B$4</f>
        <v>5.9366754617414239</v>
      </c>
      <c r="E9" s="248">
        <f>'Gathering Drwg'!F40</f>
        <v>1.6199999999999999E-2</v>
      </c>
      <c r="F9" s="5">
        <f t="shared" ref="F9:F19" si="0">E9*(C9-1)/(1+mM*(C9-1))</f>
        <v>1.5093223629902945E-2</v>
      </c>
      <c r="G9" s="249">
        <f t="shared" ref="G9:G19" si="1">I9*(1-mM)*$D$20</f>
        <v>0</v>
      </c>
      <c r="H9" s="249">
        <f>D9-G9</f>
        <v>5.9366754617414239</v>
      </c>
      <c r="I9" s="249">
        <f t="shared" ref="I9:I19" si="2">E9/(1-mM+mM*C9)</f>
        <v>1.1067763700970546E-3</v>
      </c>
      <c r="J9" s="249">
        <f>I9*C9</f>
        <v>1.6199999999999999E-2</v>
      </c>
    </row>
    <row r="10" spans="1:12" x14ac:dyDescent="0.25">
      <c r="A10">
        <v>2</v>
      </c>
      <c r="B10" s="5" t="s">
        <v>5</v>
      </c>
      <c r="C10" s="5">
        <f>'K values (2)'!J27</f>
        <v>153.20099805302212</v>
      </c>
      <c r="D10" s="5">
        <f t="shared" ref="D10:D19" si="3">E10*$B$4</f>
        <v>1.8946056874816768</v>
      </c>
      <c r="E10" s="248">
        <f>'Gathering Drwg'!F39</f>
        <v>5.1700000000000001E-3</v>
      </c>
      <c r="F10" s="5">
        <f t="shared" si="0"/>
        <v>5.1362534835562189E-3</v>
      </c>
      <c r="G10" s="249">
        <f t="shared" si="1"/>
        <v>0</v>
      </c>
      <c r="H10" s="249">
        <f t="shared" ref="H10:H19" si="4">D10-G10</f>
        <v>1.8946056874816768</v>
      </c>
      <c r="I10" s="249">
        <f t="shared" si="2"/>
        <v>3.3746516443781185E-5</v>
      </c>
      <c r="J10" s="249">
        <f t="shared" ref="J10:J19" si="5">I10*C10</f>
        <v>5.1700000000000001E-3</v>
      </c>
    </row>
    <row r="11" spans="1:12" x14ac:dyDescent="0.25">
      <c r="A11">
        <v>3</v>
      </c>
      <c r="B11" s="5" t="s">
        <v>6</v>
      </c>
      <c r="C11" s="5">
        <f>'K values (2)'!J28</f>
        <v>65.016809012890448</v>
      </c>
      <c r="D11" s="5">
        <f t="shared" si="3"/>
        <v>286.08934441456279</v>
      </c>
      <c r="E11" s="248">
        <f>'Gathering Drwg'!F42</f>
        <v>0.78068060303845899</v>
      </c>
      <c r="F11" s="5">
        <f t="shared" si="0"/>
        <v>0.76867323732963622</v>
      </c>
      <c r="G11" s="249">
        <f t="shared" si="1"/>
        <v>0</v>
      </c>
      <c r="H11" s="249">
        <f t="shared" si="4"/>
        <v>286.08934441456279</v>
      </c>
      <c r="I11" s="249">
        <f t="shared" si="2"/>
        <v>1.2007365708822755E-2</v>
      </c>
      <c r="J11" s="249">
        <f t="shared" si="5"/>
        <v>0.78068060303845899</v>
      </c>
    </row>
    <row r="12" spans="1:12" x14ac:dyDescent="0.25">
      <c r="A12">
        <v>4</v>
      </c>
      <c r="B12" s="5" t="s">
        <v>558</v>
      </c>
      <c r="C12" s="5">
        <f>'K values (2)'!J29</f>
        <v>10.871617355668365</v>
      </c>
      <c r="D12" s="5">
        <f t="shared" si="3"/>
        <v>36.24303723248314</v>
      </c>
      <c r="E12" s="248">
        <f>'Gathering Drwg'!F43</f>
        <v>9.8900000000000002E-2</v>
      </c>
      <c r="F12" s="5">
        <f t="shared" si="0"/>
        <v>8.9802917499351251E-2</v>
      </c>
      <c r="G12" s="249">
        <f t="shared" si="1"/>
        <v>0</v>
      </c>
      <c r="H12" s="249">
        <f t="shared" si="4"/>
        <v>36.24303723248314</v>
      </c>
      <c r="I12" s="249">
        <f t="shared" si="2"/>
        <v>9.097082500648758E-3</v>
      </c>
      <c r="J12" s="249">
        <f t="shared" si="5"/>
        <v>9.8900000000000002E-2</v>
      </c>
    </row>
    <row r="13" spans="1:12" x14ac:dyDescent="0.25">
      <c r="A13">
        <v>5</v>
      </c>
      <c r="B13" s="5" t="s">
        <v>8</v>
      </c>
      <c r="C13" s="5">
        <f>'K values (2)'!J30</f>
        <v>2.7567312142505114</v>
      </c>
      <c r="D13" s="5">
        <f t="shared" si="3"/>
        <v>20.788715740917379</v>
      </c>
      <c r="E13" s="248">
        <f>'Gathering Drwg'!F44</f>
        <v>5.6728247513815354E-2</v>
      </c>
      <c r="F13" s="5">
        <f t="shared" si="0"/>
        <v>3.6150163143251E-2</v>
      </c>
      <c r="G13" s="249">
        <f t="shared" si="1"/>
        <v>0</v>
      </c>
      <c r="H13" s="249">
        <f t="shared" si="4"/>
        <v>20.788715740917379</v>
      </c>
      <c r="I13" s="249">
        <f t="shared" si="2"/>
        <v>2.0578084370564357E-2</v>
      </c>
      <c r="J13" s="249">
        <f t="shared" si="5"/>
        <v>5.6728247513815347E-2</v>
      </c>
    </row>
    <row r="14" spans="1:12" x14ac:dyDescent="0.25">
      <c r="A14">
        <v>6</v>
      </c>
      <c r="B14" s="5" t="s">
        <v>9</v>
      </c>
      <c r="C14" s="5">
        <f>'K values (2)'!J31</f>
        <v>1.1099670514133806</v>
      </c>
      <c r="D14" s="5">
        <f t="shared" si="3"/>
        <v>3.5953993735206371</v>
      </c>
      <c r="E14" s="248">
        <f>'Gathering Drwg'!F45</f>
        <v>9.8111258104631154E-3</v>
      </c>
      <c r="F14" s="5">
        <f t="shared" si="0"/>
        <v>9.7201135389426258E-4</v>
      </c>
      <c r="G14" s="249">
        <f t="shared" si="1"/>
        <v>0</v>
      </c>
      <c r="H14" s="249">
        <f t="shared" si="4"/>
        <v>3.5953993735206371</v>
      </c>
      <c r="I14" s="249">
        <f t="shared" si="2"/>
        <v>8.8391144565688525E-3</v>
      </c>
      <c r="J14" s="249">
        <f t="shared" si="5"/>
        <v>9.8111258104631154E-3</v>
      </c>
    </row>
    <row r="15" spans="1:12" x14ac:dyDescent="0.25">
      <c r="A15">
        <v>7</v>
      </c>
      <c r="B15" s="5" t="s">
        <v>10</v>
      </c>
      <c r="C15" s="5">
        <f>'K values (2)'!J32</f>
        <v>0.8024283655866854</v>
      </c>
      <c r="D15" s="5">
        <f t="shared" si="3"/>
        <v>5.1997066251595854</v>
      </c>
      <c r="E15" s="248">
        <f>'Gathering Drwg'!F46</f>
        <v>1.4188959438735479E-2</v>
      </c>
      <c r="F15" s="5">
        <f t="shared" si="0"/>
        <v>-3.4935653164324173E-3</v>
      </c>
      <c r="G15" s="249">
        <f t="shared" si="1"/>
        <v>0</v>
      </c>
      <c r="H15" s="249">
        <f t="shared" si="4"/>
        <v>5.1997066251595854</v>
      </c>
      <c r="I15" s="249">
        <f t="shared" si="2"/>
        <v>1.7682524755167895E-2</v>
      </c>
      <c r="J15" s="249">
        <f t="shared" si="5"/>
        <v>1.4188959438735478E-2</v>
      </c>
      <c r="L15" s="4"/>
    </row>
    <row r="16" spans="1:12" x14ac:dyDescent="0.25">
      <c r="A16">
        <v>8</v>
      </c>
      <c r="B16" s="5" t="s">
        <v>237</v>
      </c>
      <c r="C16" s="5">
        <f>'K values (2)'!J33</f>
        <v>0.33989706098518924</v>
      </c>
      <c r="D16" s="5">
        <f t="shared" si="3"/>
        <v>2.2593265606361639</v>
      </c>
      <c r="E16" s="248">
        <f>'Gathering Drwg'!F47</f>
        <v>6.1652503186639647E-3</v>
      </c>
      <c r="F16" s="5">
        <f t="shared" si="0"/>
        <v>-1.197333052341225E-2</v>
      </c>
      <c r="G16" s="249">
        <f t="shared" si="1"/>
        <v>0</v>
      </c>
      <c r="H16" s="249">
        <f t="shared" si="4"/>
        <v>2.2593265606361639</v>
      </c>
      <c r="I16" s="249">
        <f t="shared" si="2"/>
        <v>1.8138580842076216E-2</v>
      </c>
      <c r="J16" s="249">
        <f t="shared" si="5"/>
        <v>6.1652503186639647E-3</v>
      </c>
      <c r="L16" s="4"/>
    </row>
    <row r="17" spans="1:15" x14ac:dyDescent="0.25">
      <c r="A17">
        <v>9</v>
      </c>
      <c r="B17" s="5" t="s">
        <v>238</v>
      </c>
      <c r="C17" s="5">
        <f>'K values (2)'!J34</f>
        <v>0.26227669743595033</v>
      </c>
      <c r="D17" s="5">
        <f t="shared" si="3"/>
        <v>3.1686919673806346</v>
      </c>
      <c r="E17" s="248">
        <f>'Gathering Drwg'!F48</f>
        <v>8.6467266405882773E-3</v>
      </c>
      <c r="F17" s="5">
        <f t="shared" si="0"/>
        <v>-2.4321229434502479E-2</v>
      </c>
      <c r="G17" s="249">
        <f t="shared" si="1"/>
        <v>0</v>
      </c>
      <c r="H17" s="249">
        <f t="shared" si="4"/>
        <v>3.1686919673806346</v>
      </c>
      <c r="I17" s="249">
        <f t="shared" si="2"/>
        <v>3.2967956075090753E-2</v>
      </c>
      <c r="J17" s="249">
        <f t="shared" si="5"/>
        <v>8.6467266405882773E-3</v>
      </c>
      <c r="L17" s="4"/>
      <c r="M17" s="4"/>
    </row>
    <row r="18" spans="1:15" x14ac:dyDescent="0.25">
      <c r="A18">
        <v>10</v>
      </c>
      <c r="B18" s="5" t="s">
        <v>226</v>
      </c>
      <c r="C18" s="5">
        <f>'K values (2)'!J35</f>
        <v>0.10678138051019773</v>
      </c>
      <c r="D18" s="5">
        <f t="shared" si="3"/>
        <v>0.84939493496653407</v>
      </c>
      <c r="E18" s="248">
        <f>'Gathering Drwg'!F49</f>
        <v>2.3178288985366783E-3</v>
      </c>
      <c r="F18" s="5">
        <f t="shared" si="0"/>
        <v>-1.9388473150211642E-2</v>
      </c>
      <c r="G18" s="249">
        <f t="shared" si="1"/>
        <v>0</v>
      </c>
      <c r="H18" s="249">
        <f t="shared" si="4"/>
        <v>0.84939493496653407</v>
      </c>
      <c r="I18" s="249">
        <f t="shared" si="2"/>
        <v>2.1706302048748315E-2</v>
      </c>
      <c r="J18" s="249">
        <f t="shared" si="5"/>
        <v>2.3178288985366783E-3</v>
      </c>
      <c r="L18" s="4"/>
    </row>
    <row r="19" spans="1:15" ht="15.75" thickBot="1" x14ac:dyDescent="0.3">
      <c r="A19">
        <v>11</v>
      </c>
      <c r="B19" s="5" t="s">
        <v>559</v>
      </c>
      <c r="C19" s="5">
        <f>'K values (2)'!J36</f>
        <v>2.7887775306834543E-3</v>
      </c>
      <c r="D19" s="5">
        <f t="shared" si="3"/>
        <v>0.43975373790677214</v>
      </c>
      <c r="E19" s="248">
        <f>'Gathering Drwg'!F50</f>
        <v>1.1999999999999999E-3</v>
      </c>
      <c r="F19" s="5">
        <f t="shared" si="0"/>
        <v>-0.4290960658557561</v>
      </c>
      <c r="G19" s="249">
        <f t="shared" si="1"/>
        <v>0</v>
      </c>
      <c r="H19" s="249">
        <f t="shared" si="4"/>
        <v>0.43975373790677214</v>
      </c>
      <c r="I19" s="249">
        <f t="shared" si="2"/>
        <v>0.4302960658557487</v>
      </c>
      <c r="J19" s="249">
        <f t="shared" si="5"/>
        <v>1.1999999999999999E-3</v>
      </c>
      <c r="L19" s="4"/>
    </row>
    <row r="20" spans="1:15" ht="15.75" thickBot="1" x14ac:dyDescent="0.3">
      <c r="B20" s="4"/>
      <c r="C20" s="250" t="s">
        <v>560</v>
      </c>
      <c r="D20" s="251">
        <f t="shared" ref="D20:J20" si="6">SUM(D9:D19)</f>
        <v>366.46465173675676</v>
      </c>
      <c r="E20" s="252">
        <f t="shared" si="6"/>
        <v>1.0000087416592618</v>
      </c>
      <c r="F20" s="253">
        <f t="shared" si="6"/>
        <v>0.42755514215927704</v>
      </c>
      <c r="G20" s="252">
        <f t="shared" si="6"/>
        <v>0</v>
      </c>
      <c r="H20" s="252">
        <f t="shared" si="6"/>
        <v>366.46465173675676</v>
      </c>
      <c r="I20" s="252">
        <f t="shared" si="6"/>
        <v>0.57245359949997743</v>
      </c>
      <c r="J20" s="254">
        <f t="shared" si="6"/>
        <v>1.0000087416592618</v>
      </c>
      <c r="L20" s="255"/>
      <c r="M20" s="255"/>
      <c r="N20" s="255"/>
      <c r="O20" s="255"/>
    </row>
    <row r="21" spans="1:15" x14ac:dyDescent="0.25">
      <c r="L21" s="255"/>
      <c r="M21" s="255"/>
      <c r="N21" s="255"/>
      <c r="O21" s="255"/>
    </row>
    <row r="22" spans="1:15" x14ac:dyDescent="0.25">
      <c r="L22" s="255"/>
      <c r="M22" s="255"/>
      <c r="N22" s="255"/>
      <c r="O22" s="255"/>
    </row>
    <row r="23" spans="1:15" ht="45" x14ac:dyDescent="0.25">
      <c r="E23" s="256" t="s">
        <v>561</v>
      </c>
      <c r="F23" s="257">
        <v>1</v>
      </c>
      <c r="G23" s="304" t="s">
        <v>562</v>
      </c>
      <c r="H23" s="304"/>
      <c r="I23" s="304"/>
      <c r="L23" s="255"/>
      <c r="M23" s="255"/>
      <c r="N23" s="255"/>
      <c r="O23" s="255"/>
    </row>
    <row r="24" spans="1:15" x14ac:dyDescent="0.25">
      <c r="L24" s="255"/>
      <c r="M24" s="255"/>
      <c r="N24" s="255"/>
      <c r="O24" s="255"/>
    </row>
    <row r="25" spans="1:15" x14ac:dyDescent="0.25">
      <c r="B25" t="s">
        <v>563</v>
      </c>
      <c r="L25" s="255"/>
      <c r="M25" s="255"/>
      <c r="N25" s="255"/>
      <c r="O25" s="255"/>
    </row>
    <row r="26" spans="1:15" x14ac:dyDescent="0.25">
      <c r="L26" s="255"/>
      <c r="M26" s="255"/>
      <c r="N26" s="255"/>
      <c r="O26" s="255"/>
    </row>
    <row r="27" spans="1:15" x14ac:dyDescent="0.25">
      <c r="L27" s="255"/>
      <c r="M27" s="255"/>
      <c r="N27" s="255"/>
      <c r="O27" s="255"/>
    </row>
    <row r="28" spans="1:15" ht="15" customHeight="1" x14ac:dyDescent="0.25">
      <c r="L28" s="255"/>
      <c r="M28" s="255"/>
      <c r="N28" s="255"/>
      <c r="O28" s="255"/>
    </row>
    <row r="30" spans="1:15" x14ac:dyDescent="0.25">
      <c r="B30" t="s">
        <v>564</v>
      </c>
    </row>
    <row r="33" spans="1:6" ht="16.5" x14ac:dyDescent="0.25">
      <c r="A33" s="258"/>
      <c r="D33" s="259" t="s">
        <v>565</v>
      </c>
    </row>
    <row r="34" spans="1:6" x14ac:dyDescent="0.25">
      <c r="A34" s="258"/>
      <c r="D34" s="260" t="s">
        <v>566</v>
      </c>
    </row>
    <row r="36" spans="1:6" x14ac:dyDescent="0.25">
      <c r="D36" s="242" t="s">
        <v>567</v>
      </c>
      <c r="F36" s="89" t="s">
        <v>568</v>
      </c>
    </row>
    <row r="37" spans="1:6" x14ac:dyDescent="0.25">
      <c r="D37" s="242" t="s">
        <v>569</v>
      </c>
    </row>
  </sheetData>
  <mergeCells count="1">
    <mergeCell ref="G23:I23"/>
  </mergeCells>
  <hyperlinks>
    <hyperlink ref="A2" r:id="rId1" xr:uid="{175AD66A-0319-4F23-918D-1E7AFBFDC028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BAE0-22BE-4A50-A76C-32DE05B52AFE}">
  <dimension ref="B1:N39"/>
  <sheetViews>
    <sheetView workbookViewId="0">
      <selection activeCell="K25" sqref="K25"/>
    </sheetView>
  </sheetViews>
  <sheetFormatPr defaultRowHeight="15" x14ac:dyDescent="0.25"/>
  <cols>
    <col min="1" max="1" width="3.5703125" customWidth="1"/>
    <col min="2" max="2" width="8.7109375" style="89"/>
    <col min="3" max="3" width="10.42578125" customWidth="1"/>
  </cols>
  <sheetData>
    <row r="1" spans="2:14" ht="21" x14ac:dyDescent="0.35">
      <c r="C1" s="261" t="s">
        <v>570</v>
      </c>
    </row>
    <row r="2" spans="2:14" x14ac:dyDescent="0.25">
      <c r="D2" t="s">
        <v>571</v>
      </c>
    </row>
    <row r="4" spans="2:14" x14ac:dyDescent="0.25">
      <c r="B4" s="96"/>
      <c r="C4" s="262" t="s">
        <v>572</v>
      </c>
      <c r="D4" s="125"/>
      <c r="E4" s="125"/>
      <c r="F4" s="125"/>
      <c r="G4" s="125"/>
      <c r="H4" s="125"/>
      <c r="J4" s="263" t="s">
        <v>573</v>
      </c>
      <c r="K4" s="212"/>
      <c r="L4" s="212"/>
      <c r="M4" s="212"/>
      <c r="N4" s="212"/>
    </row>
    <row r="5" spans="2:14" x14ac:dyDescent="0.25">
      <c r="B5" s="96"/>
      <c r="C5" s="125"/>
      <c r="D5" s="125"/>
      <c r="E5" s="125"/>
      <c r="F5" s="125"/>
      <c r="G5" s="125"/>
      <c r="H5" s="125"/>
      <c r="J5" s="212"/>
      <c r="K5" s="212"/>
      <c r="L5" s="212"/>
      <c r="M5" s="212"/>
      <c r="N5" s="212"/>
    </row>
    <row r="6" spans="2:14" ht="18" x14ac:dyDescent="0.35">
      <c r="B6" s="96"/>
      <c r="C6" s="264" t="s">
        <v>574</v>
      </c>
      <c r="D6" s="125"/>
      <c r="E6" s="125"/>
      <c r="F6" s="125"/>
      <c r="G6" s="125"/>
      <c r="H6" s="125"/>
      <c r="J6" s="265" t="s">
        <v>575</v>
      </c>
      <c r="K6" s="212"/>
      <c r="L6" s="212"/>
      <c r="M6" s="212"/>
      <c r="N6" s="212"/>
    </row>
    <row r="7" spans="2:14" x14ac:dyDescent="0.25">
      <c r="B7" s="96"/>
      <c r="C7" s="264"/>
      <c r="D7" s="125"/>
      <c r="E7" s="125"/>
      <c r="F7" s="125"/>
      <c r="G7" s="125"/>
      <c r="H7" s="125"/>
      <c r="J7" s="265"/>
      <c r="K7" s="212"/>
      <c r="L7" s="212"/>
      <c r="M7" s="212"/>
      <c r="N7" s="212"/>
    </row>
    <row r="8" spans="2:14" ht="18" x14ac:dyDescent="0.35">
      <c r="B8" s="96"/>
      <c r="C8" s="264" t="s">
        <v>576</v>
      </c>
      <c r="D8" s="125"/>
      <c r="E8" s="125"/>
      <c r="F8" s="125"/>
      <c r="G8" s="125"/>
      <c r="H8" s="125"/>
      <c r="J8" s="265" t="s">
        <v>577</v>
      </c>
      <c r="K8" s="212"/>
      <c r="L8" s="212"/>
      <c r="M8" s="212"/>
      <c r="N8" s="212"/>
    </row>
    <row r="9" spans="2:14" x14ac:dyDescent="0.25">
      <c r="B9" s="96">
        <f>460+'Flash (2)'!B5</f>
        <v>530</v>
      </c>
      <c r="C9" s="264" t="s">
        <v>578</v>
      </c>
      <c r="D9" s="125"/>
      <c r="E9" s="125"/>
      <c r="F9" s="125"/>
      <c r="G9" s="125"/>
      <c r="H9" s="125"/>
      <c r="J9" s="265" t="s">
        <v>578</v>
      </c>
      <c r="K9" s="212"/>
      <c r="L9" s="212"/>
      <c r="M9" s="212"/>
      <c r="N9" s="212"/>
    </row>
    <row r="10" spans="2:14" ht="18" x14ac:dyDescent="0.35">
      <c r="B10" s="96"/>
      <c r="C10" s="264" t="s">
        <v>579</v>
      </c>
      <c r="D10" s="125"/>
      <c r="E10" s="125"/>
      <c r="F10" s="125"/>
      <c r="G10" s="125"/>
      <c r="H10" s="125"/>
      <c r="J10" s="265" t="s">
        <v>579</v>
      </c>
      <c r="K10" s="212"/>
      <c r="L10" s="212"/>
      <c r="M10" s="212"/>
      <c r="N10" s="212"/>
    </row>
    <row r="11" spans="2:14" x14ac:dyDescent="0.25">
      <c r="B11" s="96">
        <f>'Flash (2)'!B6</f>
        <v>39.700000000000003</v>
      </c>
      <c r="C11" s="264" t="s">
        <v>580</v>
      </c>
      <c r="D11" s="125"/>
      <c r="E11" s="125"/>
      <c r="F11" s="125"/>
      <c r="G11" s="125"/>
      <c r="H11" s="125"/>
      <c r="J11" s="265" t="s">
        <v>581</v>
      </c>
      <c r="K11" s="212"/>
      <c r="L11" s="212"/>
      <c r="M11" s="212"/>
      <c r="N11" s="212"/>
    </row>
    <row r="12" spans="2:14" ht="18" x14ac:dyDescent="0.35">
      <c r="B12" s="96"/>
      <c r="C12" s="264" t="s">
        <v>582</v>
      </c>
      <c r="D12" s="125"/>
      <c r="E12" s="125"/>
      <c r="F12" s="125"/>
      <c r="G12" s="125"/>
      <c r="H12" s="125"/>
      <c r="J12" s="265" t="s">
        <v>582</v>
      </c>
      <c r="K12" s="212"/>
      <c r="L12" s="212"/>
      <c r="M12" s="212"/>
      <c r="N12" s="212"/>
    </row>
    <row r="13" spans="2:14" ht="18" x14ac:dyDescent="0.35">
      <c r="B13" s="96"/>
      <c r="C13" s="264" t="s">
        <v>583</v>
      </c>
      <c r="D13" s="125"/>
      <c r="E13" s="125"/>
      <c r="F13" s="125"/>
      <c r="G13" s="125"/>
      <c r="H13" s="125"/>
    </row>
    <row r="14" spans="2:14" x14ac:dyDescent="0.25">
      <c r="B14" s="96"/>
      <c r="C14" s="264" t="s">
        <v>584</v>
      </c>
      <c r="D14" s="125"/>
      <c r="E14" s="125"/>
      <c r="F14" s="125"/>
      <c r="G14" s="125"/>
      <c r="H14" s="125"/>
    </row>
    <row r="15" spans="2:14" x14ac:dyDescent="0.25">
      <c r="B15" s="96"/>
      <c r="C15" s="264"/>
      <c r="D15" s="125"/>
      <c r="E15" s="125"/>
      <c r="F15" s="125"/>
      <c r="G15" s="125"/>
      <c r="H15" s="125"/>
    </row>
    <row r="16" spans="2:14" ht="17.25" x14ac:dyDescent="0.25">
      <c r="B16" s="96">
        <f>1.2+0.00045*B11+15*10^-8*B11^2</f>
        <v>1.2181014134999999</v>
      </c>
      <c r="C16" s="264" t="s">
        <v>585</v>
      </c>
      <c r="D16" s="125"/>
      <c r="E16" s="125"/>
      <c r="F16" s="125"/>
      <c r="G16" s="125"/>
      <c r="H16" s="125"/>
    </row>
    <row r="17" spans="2:11" ht="17.25" x14ac:dyDescent="0.25">
      <c r="B17" s="96">
        <f>0.89-0.00017*B11-3.5*10^-8*B11^2</f>
        <v>0.88319583685000003</v>
      </c>
      <c r="C17" s="264" t="s">
        <v>586</v>
      </c>
      <c r="D17" s="125"/>
      <c r="E17" s="125"/>
      <c r="F17" s="125"/>
      <c r="G17" s="125"/>
      <c r="H17" s="125"/>
    </row>
    <row r="18" spans="2:11" x14ac:dyDescent="0.25">
      <c r="B18" s="96">
        <f>7.3+0.0075*150+0.0016*1000</f>
        <v>10.025</v>
      </c>
      <c r="C18" s="264" t="s">
        <v>587</v>
      </c>
      <c r="D18" s="125"/>
      <c r="E18" s="125"/>
      <c r="F18" s="125"/>
      <c r="G18" s="125"/>
      <c r="H18" s="125"/>
    </row>
    <row r="19" spans="2:11" x14ac:dyDescent="0.25">
      <c r="B19" s="96">
        <f>1013+324*B18-4.256*B18^2</f>
        <v>3833.3693400000002</v>
      </c>
      <c r="C19" s="264" t="s">
        <v>588</v>
      </c>
      <c r="D19" s="125"/>
      <c r="E19" s="125"/>
      <c r="F19" s="125"/>
      <c r="G19" s="125"/>
      <c r="H19" s="125"/>
    </row>
    <row r="20" spans="2:11" ht="18" x14ac:dyDescent="0.35">
      <c r="B20" s="96">
        <f>301+59.85*B18-0.971*B18^2</f>
        <v>803.41014312499999</v>
      </c>
      <c r="C20" s="264" t="s">
        <v>589</v>
      </c>
      <c r="D20" s="125"/>
      <c r="E20" s="125"/>
      <c r="F20" s="125"/>
      <c r="G20" s="125"/>
      <c r="H20" s="125"/>
    </row>
    <row r="22" spans="2:11" x14ac:dyDescent="0.25">
      <c r="D22" t="s">
        <v>590</v>
      </c>
    </row>
    <row r="24" spans="2:11" x14ac:dyDescent="0.25">
      <c r="C24" s="266"/>
      <c r="D24" s="266"/>
      <c r="E24" s="266"/>
      <c r="F24" s="266"/>
      <c r="G24" s="266"/>
      <c r="H24" s="266"/>
      <c r="I24" s="266"/>
      <c r="J24" s="267" t="s">
        <v>591</v>
      </c>
      <c r="K24" s="267" t="s">
        <v>592</v>
      </c>
    </row>
    <row r="25" spans="2:11" ht="18" x14ac:dyDescent="0.25">
      <c r="C25" s="268" t="s">
        <v>593</v>
      </c>
      <c r="D25" s="268" t="s">
        <v>594</v>
      </c>
      <c r="E25" s="268" t="s">
        <v>595</v>
      </c>
      <c r="F25" s="268" t="s">
        <v>596</v>
      </c>
      <c r="G25" s="268" t="s">
        <v>597</v>
      </c>
      <c r="H25" s="268" t="s">
        <v>598</v>
      </c>
      <c r="I25" s="268" t="s">
        <v>599</v>
      </c>
      <c r="J25" s="268" t="s">
        <v>600</v>
      </c>
      <c r="K25" s="268" t="s">
        <v>600</v>
      </c>
    </row>
    <row r="26" spans="2:11" x14ac:dyDescent="0.25">
      <c r="C26" s="269" t="s">
        <v>180</v>
      </c>
      <c r="D26" s="269">
        <v>1071</v>
      </c>
      <c r="E26" s="269">
        <v>547.9</v>
      </c>
      <c r="F26" s="269">
        <v>0.22500000000000001</v>
      </c>
      <c r="G26" s="269">
        <f>(LOG(D26/14.7))/((1/H26)-(1/E26))</f>
        <v>1814.4755813039849</v>
      </c>
      <c r="H26" s="269">
        <f>460-109.32</f>
        <v>350.68</v>
      </c>
      <c r="I26" s="269">
        <f t="shared" ref="I26:I36" si="0">G26*(1/H26-1/$B$9)</f>
        <v>1.7506244538343321</v>
      </c>
      <c r="J26" s="269">
        <f t="shared" ref="J26:J36" si="1">1/$B$11*10^($B$16+$B$17*I26)</f>
        <v>14.637103246592988</v>
      </c>
      <c r="K26" s="269">
        <f t="shared" ref="K26:K36" si="2">D26/$B$11*EXP(5.37*(1+F26)*(1-E26/$B$9))</f>
        <v>21.602861825798275</v>
      </c>
    </row>
    <row r="27" spans="2:11" x14ac:dyDescent="0.25">
      <c r="C27" s="269" t="s">
        <v>5</v>
      </c>
      <c r="D27" s="269">
        <v>493</v>
      </c>
      <c r="E27" s="269">
        <v>227.6</v>
      </c>
      <c r="F27" s="269">
        <v>0.04</v>
      </c>
      <c r="G27" s="269">
        <f t="shared" ref="G27:G35" si="3">(LOG(D27/14.7))/((1/H27)-(1/E27))</f>
        <v>550.39416227533729</v>
      </c>
      <c r="H27" s="269">
        <f>460-320.44</f>
        <v>139.56</v>
      </c>
      <c r="I27" s="269">
        <f t="shared" si="0"/>
        <v>2.9053020641528731</v>
      </c>
      <c r="J27" s="269">
        <f t="shared" si="1"/>
        <v>153.20099805302212</v>
      </c>
      <c r="K27" s="269">
        <f t="shared" si="2"/>
        <v>300.56234216229967</v>
      </c>
    </row>
    <row r="28" spans="2:11" x14ac:dyDescent="0.25">
      <c r="C28" s="269" t="s">
        <v>6</v>
      </c>
      <c r="D28" s="269">
        <v>667.8</v>
      </c>
      <c r="E28" s="269">
        <v>343.37</v>
      </c>
      <c r="F28" s="269">
        <v>1.04E-2</v>
      </c>
      <c r="G28" s="269">
        <f t="shared" si="3"/>
        <v>805.94225857765423</v>
      </c>
      <c r="H28" s="269">
        <f>460-258.74</f>
        <v>201.26</v>
      </c>
      <c r="I28" s="269">
        <f t="shared" si="0"/>
        <v>2.4838372787740823</v>
      </c>
      <c r="J28" s="269">
        <f t="shared" si="1"/>
        <v>65.016809012890448</v>
      </c>
      <c r="K28" s="269">
        <f t="shared" si="2"/>
        <v>113.6646739523085</v>
      </c>
    </row>
    <row r="29" spans="2:11" x14ac:dyDescent="0.25">
      <c r="C29" s="269" t="s">
        <v>7</v>
      </c>
      <c r="D29" s="269">
        <v>707.8</v>
      </c>
      <c r="E29" s="269">
        <v>550.09</v>
      </c>
      <c r="F29" s="269">
        <v>9.8599999999999993E-2</v>
      </c>
      <c r="G29" s="269">
        <f t="shared" si="3"/>
        <v>1135.0117164691694</v>
      </c>
      <c r="H29" s="269">
        <v>303</v>
      </c>
      <c r="I29" s="269">
        <f t="shared" si="0"/>
        <v>1.6043817151659596</v>
      </c>
      <c r="J29" s="269">
        <f t="shared" si="1"/>
        <v>10.871617355668365</v>
      </c>
      <c r="K29" s="269">
        <f t="shared" si="2"/>
        <v>14.256124717670707</v>
      </c>
    </row>
    <row r="30" spans="2:11" x14ac:dyDescent="0.25">
      <c r="C30" s="269" t="s">
        <v>8</v>
      </c>
      <c r="D30" s="269">
        <v>616.29999999999995</v>
      </c>
      <c r="E30" s="269">
        <v>666.01</v>
      </c>
      <c r="F30" s="269">
        <v>0.1542</v>
      </c>
      <c r="G30" s="269">
        <f t="shared" si="3"/>
        <v>1798.0206264633593</v>
      </c>
      <c r="H30" s="269">
        <v>416</v>
      </c>
      <c r="I30" s="269">
        <f t="shared" si="0"/>
        <v>0.9296732194159244</v>
      </c>
      <c r="J30" s="269">
        <f t="shared" si="1"/>
        <v>2.7567312142505114</v>
      </c>
      <c r="K30" s="269">
        <f t="shared" si="2"/>
        <v>3.1639513718184196</v>
      </c>
    </row>
    <row r="31" spans="2:11" x14ac:dyDescent="0.25">
      <c r="C31" s="269" t="s">
        <v>9</v>
      </c>
      <c r="D31" s="269">
        <v>529.1</v>
      </c>
      <c r="E31" s="269">
        <v>734.98</v>
      </c>
      <c r="F31" s="269">
        <v>0.18479999999999999</v>
      </c>
      <c r="G31" s="269">
        <f t="shared" si="3"/>
        <v>2040.7815321227265</v>
      </c>
      <c r="H31" s="269">
        <v>471</v>
      </c>
      <c r="I31" s="269">
        <f t="shared" si="0"/>
        <v>0.48233830226832047</v>
      </c>
      <c r="J31" s="269">
        <f t="shared" si="1"/>
        <v>1.1099670514133806</v>
      </c>
      <c r="K31" s="269">
        <f t="shared" si="2"/>
        <v>1.1378577558240182</v>
      </c>
    </row>
    <row r="32" spans="2:11" x14ac:dyDescent="0.25">
      <c r="C32" s="269" t="s">
        <v>10</v>
      </c>
      <c r="D32" s="269">
        <v>550.70000000000005</v>
      </c>
      <c r="E32" s="269">
        <v>765.65</v>
      </c>
      <c r="F32" s="269">
        <v>0.20100000000000001</v>
      </c>
      <c r="G32" s="269">
        <f t="shared" si="3"/>
        <v>2153.9018004018026</v>
      </c>
      <c r="H32" s="269">
        <v>491</v>
      </c>
      <c r="I32" s="269">
        <f t="shared" si="0"/>
        <v>0.32279971646493555</v>
      </c>
      <c r="J32" s="269">
        <f t="shared" si="1"/>
        <v>0.8024283655866854</v>
      </c>
      <c r="K32" s="269">
        <f t="shared" si="2"/>
        <v>0.78844161821720593</v>
      </c>
    </row>
    <row r="33" spans="3:11" x14ac:dyDescent="0.25">
      <c r="C33" s="269" t="s">
        <v>237</v>
      </c>
      <c r="D33" s="269">
        <v>490.4</v>
      </c>
      <c r="E33" s="269">
        <v>829.1</v>
      </c>
      <c r="F33" s="269">
        <v>0.2223</v>
      </c>
      <c r="G33" s="269">
        <f t="shared" si="3"/>
        <v>2384.1818923232349</v>
      </c>
      <c r="H33" s="269">
        <v>542</v>
      </c>
      <c r="I33" s="269">
        <f t="shared" si="0"/>
        <v>-9.9596820677709627E-2</v>
      </c>
      <c r="J33" s="269">
        <f t="shared" si="1"/>
        <v>0.33989706098518924</v>
      </c>
      <c r="K33" s="269">
        <f t="shared" si="2"/>
        <v>0.30412558159536152</v>
      </c>
    </row>
    <row r="34" spans="3:11" x14ac:dyDescent="0.25">
      <c r="C34" s="269" t="s">
        <v>238</v>
      </c>
      <c r="D34" s="269">
        <v>488.6</v>
      </c>
      <c r="E34" s="269">
        <v>845.7</v>
      </c>
      <c r="F34" s="269">
        <v>0.25390000000000001</v>
      </c>
      <c r="G34" s="269">
        <f t="shared" si="3"/>
        <v>2482.7646486292138</v>
      </c>
      <c r="H34" s="269">
        <v>557</v>
      </c>
      <c r="I34" s="269">
        <f t="shared" si="0"/>
        <v>-0.22707444027298782</v>
      </c>
      <c r="J34" s="269">
        <f t="shared" si="1"/>
        <v>0.26227669743595033</v>
      </c>
      <c r="K34" s="269">
        <f t="shared" si="2"/>
        <v>0.22298467604472386</v>
      </c>
    </row>
    <row r="35" spans="3:11" x14ac:dyDescent="0.25">
      <c r="C35" s="269" t="s">
        <v>226</v>
      </c>
      <c r="D35" s="269">
        <v>436.9</v>
      </c>
      <c r="E35" s="269">
        <v>913.7</v>
      </c>
      <c r="F35" s="269">
        <v>0.30070000000000002</v>
      </c>
      <c r="G35" s="269">
        <f t="shared" si="3"/>
        <v>2703.401144385748</v>
      </c>
      <c r="H35" s="269">
        <v>610</v>
      </c>
      <c r="I35" s="269">
        <f t="shared" si="0"/>
        <v>-0.66895172146879012</v>
      </c>
      <c r="J35" s="269">
        <f t="shared" si="1"/>
        <v>0.10678138051019773</v>
      </c>
      <c r="K35" s="269">
        <f t="shared" si="2"/>
        <v>7.0063816222275047E-2</v>
      </c>
    </row>
    <row r="36" spans="3:11" x14ac:dyDescent="0.25">
      <c r="C36" s="269" t="s">
        <v>559</v>
      </c>
      <c r="D36" s="269">
        <v>320.3</v>
      </c>
      <c r="E36" s="269">
        <v>1139.4000000000001</v>
      </c>
      <c r="F36" s="269">
        <v>0.50690000000000002</v>
      </c>
      <c r="G36" s="269">
        <f>B19</f>
        <v>3833.3693400000002</v>
      </c>
      <c r="H36" s="269">
        <v>803.41</v>
      </c>
      <c r="I36" s="269">
        <f t="shared" si="0"/>
        <v>-2.4613986449959877</v>
      </c>
      <c r="J36" s="269">
        <f t="shared" si="1"/>
        <v>2.7887775306834543E-3</v>
      </c>
      <c r="K36" s="269">
        <f t="shared" si="2"/>
        <v>7.3442162107834161E-4</v>
      </c>
    </row>
    <row r="39" spans="3:11" x14ac:dyDescent="0.25">
      <c r="C39" s="242" t="s">
        <v>601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R84"/>
  <sheetViews>
    <sheetView workbookViewId="0">
      <selection activeCell="N38" sqref="N38"/>
    </sheetView>
  </sheetViews>
  <sheetFormatPr defaultColWidth="8.85546875" defaultRowHeight="15" x14ac:dyDescent="0.25"/>
  <cols>
    <col min="1" max="1" width="8.85546875" style="5"/>
    <col min="2" max="2" width="18.7109375" style="5" customWidth="1"/>
    <col min="3" max="3" width="10.28515625" style="5" customWidth="1"/>
    <col min="4" max="7" width="8.85546875" style="5"/>
    <col min="8" max="8" width="9.42578125" style="5" customWidth="1"/>
    <col min="9" max="13" width="8.85546875" style="5"/>
    <col min="14" max="14" width="10" style="66" customWidth="1"/>
    <col min="15" max="16" width="8.85546875" style="73"/>
    <col min="17" max="25" width="8.85546875" style="5"/>
    <col min="26" max="44" width="0" style="5" hidden="1" customWidth="1"/>
    <col min="45" max="16384" width="8.85546875" style="5"/>
  </cols>
  <sheetData>
    <row r="1" spans="1:44" x14ac:dyDescent="0.25">
      <c r="A1" s="68" t="s">
        <v>147</v>
      </c>
    </row>
    <row r="2" spans="1:44" x14ac:dyDescent="0.25">
      <c r="C2" s="16" t="s">
        <v>148</v>
      </c>
      <c r="D2" s="16"/>
      <c r="E2" s="16"/>
      <c r="F2" s="16" t="s">
        <v>149</v>
      </c>
      <c r="G2" s="16" t="s">
        <v>150</v>
      </c>
      <c r="H2" s="16" t="s">
        <v>151</v>
      </c>
      <c r="I2" s="16" t="s">
        <v>152</v>
      </c>
      <c r="J2" s="16" t="s">
        <v>153</v>
      </c>
      <c r="K2" s="16"/>
      <c r="L2" s="294" t="s">
        <v>154</v>
      </c>
      <c r="M2" s="295"/>
      <c r="N2" s="296"/>
      <c r="O2" s="297" t="s">
        <v>155</v>
      </c>
      <c r="P2" s="298"/>
      <c r="Q2" s="16" t="s">
        <v>156</v>
      </c>
      <c r="R2" s="16" t="s">
        <v>157</v>
      </c>
      <c r="S2" s="16" t="s">
        <v>158</v>
      </c>
      <c r="T2" s="16" t="s">
        <v>159</v>
      </c>
      <c r="U2" s="16" t="s">
        <v>160</v>
      </c>
    </row>
    <row r="3" spans="1:44" x14ac:dyDescent="0.25">
      <c r="C3" s="53" t="s">
        <v>161</v>
      </c>
      <c r="D3" s="53" t="s">
        <v>162</v>
      </c>
      <c r="E3" s="53" t="s">
        <v>163</v>
      </c>
      <c r="F3" s="74" t="s">
        <v>164</v>
      </c>
      <c r="G3" s="74" t="s">
        <v>165</v>
      </c>
      <c r="H3" s="53" t="s">
        <v>166</v>
      </c>
      <c r="I3" s="53" t="s">
        <v>167</v>
      </c>
      <c r="J3" s="53" t="s">
        <v>168</v>
      </c>
      <c r="K3" s="53" t="s">
        <v>169</v>
      </c>
      <c r="L3" s="10" t="s">
        <v>170</v>
      </c>
      <c r="M3" s="10" t="s">
        <v>171</v>
      </c>
      <c r="N3" s="75" t="s">
        <v>172</v>
      </c>
      <c r="O3" s="76" t="s">
        <v>170</v>
      </c>
      <c r="P3" s="76" t="s">
        <v>173</v>
      </c>
      <c r="Q3" s="53" t="s">
        <v>174</v>
      </c>
      <c r="R3" s="53" t="s">
        <v>174</v>
      </c>
      <c r="S3" s="53" t="s">
        <v>175</v>
      </c>
      <c r="T3" s="53" t="s">
        <v>176</v>
      </c>
      <c r="U3" s="53" t="s">
        <v>177</v>
      </c>
    </row>
    <row r="4" spans="1:44" x14ac:dyDescent="0.25">
      <c r="B4" s="10" t="s">
        <v>178</v>
      </c>
      <c r="C4" s="87">
        <f>'Cryo Plt Drwg'!E43</f>
        <v>5.0899999999999999E-3</v>
      </c>
      <c r="D4" s="10" t="s">
        <v>5</v>
      </c>
      <c r="E4" s="75">
        <v>28.013000000000002</v>
      </c>
      <c r="F4" s="75">
        <v>-297.33199999999999</v>
      </c>
      <c r="G4" s="10"/>
      <c r="H4" s="77">
        <v>-346</v>
      </c>
      <c r="I4" s="77">
        <v>493</v>
      </c>
      <c r="J4" s="77">
        <v>-232.7</v>
      </c>
      <c r="K4" s="76">
        <v>0.99997000000000003</v>
      </c>
      <c r="L4" s="76">
        <v>0.80940000000000001</v>
      </c>
      <c r="M4" s="75">
        <f>L4*$M$19</f>
        <v>6.7479677999999996</v>
      </c>
      <c r="N4" s="75">
        <f>E4/M4</f>
        <v>4.1513238993226977</v>
      </c>
      <c r="O4" s="76">
        <v>0.96699999999999997</v>
      </c>
      <c r="P4" s="76">
        <v>13.55</v>
      </c>
      <c r="Q4" s="10">
        <v>0.24840000000000001</v>
      </c>
      <c r="R4" s="10"/>
      <c r="S4" s="10"/>
      <c r="T4" s="10"/>
      <c r="U4" s="10"/>
      <c r="AC4" s="5">
        <f t="shared" ref="AC4:AR19" si="0">E4*$C4</f>
        <v>0.14258617000000001</v>
      </c>
      <c r="AD4" s="5">
        <f t="shared" si="0"/>
        <v>-1.5134198800000001</v>
      </c>
      <c r="AE4" s="5">
        <f t="shared" si="0"/>
        <v>0</v>
      </c>
      <c r="AF4" s="5">
        <f t="shared" si="0"/>
        <v>-1.7611399999999999</v>
      </c>
      <c r="AG4" s="5">
        <f t="shared" si="0"/>
        <v>2.5093700000000001</v>
      </c>
      <c r="AH4" s="5">
        <f t="shared" si="0"/>
        <v>-1.1844429999999999</v>
      </c>
      <c r="AI4" s="5">
        <f t="shared" si="0"/>
        <v>5.0898473000000003E-3</v>
      </c>
      <c r="AJ4" s="5">
        <f t="shared" si="0"/>
        <v>4.1198459999999999E-3</v>
      </c>
      <c r="AK4" s="5">
        <f t="shared" si="0"/>
        <v>3.4347156101999995E-2</v>
      </c>
      <c r="AL4" s="5">
        <f t="shared" si="0"/>
        <v>2.1130238647552532E-2</v>
      </c>
      <c r="AM4" s="5">
        <f t="shared" si="0"/>
        <v>4.92203E-3</v>
      </c>
      <c r="AN4" s="5">
        <f t="shared" si="0"/>
        <v>6.8969500000000003E-2</v>
      </c>
      <c r="AO4" s="5">
        <f t="shared" si="0"/>
        <v>1.2643560000000001E-3</v>
      </c>
      <c r="AP4" s="5">
        <f t="shared" si="0"/>
        <v>0</v>
      </c>
      <c r="AQ4" s="5">
        <f t="shared" si="0"/>
        <v>0</v>
      </c>
      <c r="AR4" s="5">
        <f t="shared" si="0"/>
        <v>0</v>
      </c>
    </row>
    <row r="5" spans="1:44" x14ac:dyDescent="0.25">
      <c r="B5" s="10" t="s">
        <v>179</v>
      </c>
      <c r="C5" s="87">
        <f>'Cryo Plt Drwg'!E44</f>
        <v>7.6499999999999997E-3</v>
      </c>
      <c r="D5" s="10" t="s">
        <v>180</v>
      </c>
      <c r="E5" s="75">
        <v>44.01</v>
      </c>
      <c r="F5" s="75">
        <v>-109.32</v>
      </c>
      <c r="G5" s="10"/>
      <c r="H5" s="77">
        <v>-69.77</v>
      </c>
      <c r="I5" s="77">
        <v>1071</v>
      </c>
      <c r="J5" s="77">
        <v>87.87</v>
      </c>
      <c r="K5" s="76">
        <v>0.99429999999999996</v>
      </c>
      <c r="L5" s="76">
        <v>0.81759999999999999</v>
      </c>
      <c r="M5" s="75">
        <f t="shared" ref="M5:M18" si="1">L5*$M$19</f>
        <v>6.8163311999999996</v>
      </c>
      <c r="N5" s="75">
        <f>E5/M5</f>
        <v>6.4565524632957976</v>
      </c>
      <c r="O5" s="76">
        <v>1.52</v>
      </c>
      <c r="P5" s="76">
        <v>8.6229999999999993</v>
      </c>
      <c r="Q5" s="10">
        <v>0.19900000000000001</v>
      </c>
      <c r="R5" s="10"/>
      <c r="S5" s="10"/>
      <c r="T5" s="10"/>
      <c r="U5" s="10"/>
      <c r="AC5" s="5">
        <f t="shared" si="0"/>
        <v>0.33667649999999999</v>
      </c>
      <c r="AD5" s="5">
        <f t="shared" si="0"/>
        <v>-0.83629799999999987</v>
      </c>
      <c r="AE5" s="5">
        <f t="shared" si="0"/>
        <v>0</v>
      </c>
      <c r="AF5" s="5">
        <f t="shared" si="0"/>
        <v>-0.53374049999999995</v>
      </c>
      <c r="AG5" s="5">
        <f t="shared" si="0"/>
        <v>8.1931499999999993</v>
      </c>
      <c r="AH5" s="5">
        <f t="shared" si="0"/>
        <v>0.67220550000000001</v>
      </c>
      <c r="AI5" s="5">
        <f t="shared" si="0"/>
        <v>7.6063949999999993E-3</v>
      </c>
      <c r="AJ5" s="5">
        <f t="shared" si="0"/>
        <v>6.2546399999999997E-3</v>
      </c>
      <c r="AK5" s="5">
        <f t="shared" si="0"/>
        <v>5.2144933679999991E-2</v>
      </c>
      <c r="AL5" s="5">
        <f t="shared" si="0"/>
        <v>4.9392626344212848E-2</v>
      </c>
      <c r="AM5" s="5">
        <f t="shared" si="0"/>
        <v>1.1627999999999999E-2</v>
      </c>
      <c r="AN5" s="5">
        <f t="shared" si="0"/>
        <v>6.5965949999999995E-2</v>
      </c>
      <c r="AO5" s="5">
        <f t="shared" si="0"/>
        <v>1.52235E-3</v>
      </c>
      <c r="AP5" s="5">
        <f t="shared" si="0"/>
        <v>0</v>
      </c>
      <c r="AQ5" s="5">
        <f t="shared" si="0"/>
        <v>0</v>
      </c>
      <c r="AR5" s="5">
        <f t="shared" si="0"/>
        <v>0</v>
      </c>
    </row>
    <row r="6" spans="1:44" x14ac:dyDescent="0.25">
      <c r="B6" s="10" t="s">
        <v>181</v>
      </c>
      <c r="C6" s="87">
        <f>'Cryo Plt Drwg'!E45</f>
        <v>0</v>
      </c>
      <c r="D6" s="10" t="s">
        <v>3</v>
      </c>
      <c r="E6" s="75">
        <v>34.076000000000001</v>
      </c>
      <c r="F6" s="75">
        <v>-76.56</v>
      </c>
      <c r="G6" s="10">
        <v>387.1</v>
      </c>
      <c r="H6" s="77">
        <v>-121.58</v>
      </c>
      <c r="I6" s="77">
        <v>1036</v>
      </c>
      <c r="J6" s="77">
        <v>212.6</v>
      </c>
      <c r="K6" s="76">
        <v>0.99029999999999996</v>
      </c>
      <c r="L6" s="76">
        <v>0.78710000000000002</v>
      </c>
      <c r="M6" s="75">
        <f t="shared" si="1"/>
        <v>6.5620526999999997</v>
      </c>
      <c r="N6" s="75">
        <f>E6/M6</f>
        <v>5.1928872805303747</v>
      </c>
      <c r="O6" s="76">
        <v>1.177</v>
      </c>
      <c r="P6" s="76">
        <v>11.14</v>
      </c>
      <c r="Q6" s="10">
        <v>0.2379</v>
      </c>
      <c r="R6" s="10">
        <v>0.49680000000000002</v>
      </c>
      <c r="S6" s="10">
        <v>637</v>
      </c>
      <c r="T6" s="10"/>
      <c r="U6" s="10"/>
      <c r="AC6" s="5">
        <f t="shared" si="0"/>
        <v>0</v>
      </c>
      <c r="AD6" s="5">
        <f t="shared" si="0"/>
        <v>0</v>
      </c>
      <c r="AE6" s="5">
        <f t="shared" si="0"/>
        <v>0</v>
      </c>
      <c r="AF6" s="5">
        <f t="shared" si="0"/>
        <v>0</v>
      </c>
      <c r="AG6" s="5">
        <f t="shared" si="0"/>
        <v>0</v>
      </c>
      <c r="AH6" s="5">
        <f t="shared" si="0"/>
        <v>0</v>
      </c>
      <c r="AI6" s="5">
        <f t="shared" si="0"/>
        <v>0</v>
      </c>
      <c r="AJ6" s="5">
        <f t="shared" si="0"/>
        <v>0</v>
      </c>
      <c r="AK6" s="5">
        <f t="shared" si="0"/>
        <v>0</v>
      </c>
      <c r="AL6" s="5">
        <f t="shared" si="0"/>
        <v>0</v>
      </c>
      <c r="AM6" s="5">
        <f t="shared" si="0"/>
        <v>0</v>
      </c>
      <c r="AN6" s="5">
        <f t="shared" si="0"/>
        <v>0</v>
      </c>
      <c r="AO6" s="5">
        <f t="shared" si="0"/>
        <v>0</v>
      </c>
      <c r="AP6" s="5">
        <f t="shared" si="0"/>
        <v>0</v>
      </c>
      <c r="AQ6" s="5">
        <f t="shared" si="0"/>
        <v>0</v>
      </c>
      <c r="AR6" s="5">
        <f t="shared" si="0"/>
        <v>0</v>
      </c>
    </row>
    <row r="7" spans="1:44" x14ac:dyDescent="0.25">
      <c r="B7" s="10" t="s">
        <v>182</v>
      </c>
      <c r="C7" s="87">
        <f>'Cryo Plt Drwg'!E46</f>
        <v>0.78742886844099835</v>
      </c>
      <c r="D7" s="10" t="s">
        <v>183</v>
      </c>
      <c r="E7" s="75">
        <v>16.042999999999999</v>
      </c>
      <c r="F7" s="75">
        <v>-258.7</v>
      </c>
      <c r="G7" s="10">
        <v>5000</v>
      </c>
      <c r="H7" s="77">
        <v>-296.5</v>
      </c>
      <c r="I7" s="77">
        <v>667.8</v>
      </c>
      <c r="J7" s="77">
        <v>-116.68</v>
      </c>
      <c r="K7" s="76">
        <v>0.99809999999999999</v>
      </c>
      <c r="L7" s="76">
        <v>0.3</v>
      </c>
      <c r="M7" s="75">
        <f t="shared" si="1"/>
        <v>2.5010999999999997</v>
      </c>
      <c r="N7" s="75">
        <f>E7/M7</f>
        <v>6.4143776738235179</v>
      </c>
      <c r="O7" s="76">
        <v>0.55389999999999995</v>
      </c>
      <c r="P7" s="76">
        <f>13.102/O7</f>
        <v>23.654089185773607</v>
      </c>
      <c r="Q7" s="10">
        <v>0.52659999999999996</v>
      </c>
      <c r="R7" s="10"/>
      <c r="S7" s="10">
        <v>1009.7</v>
      </c>
      <c r="T7" s="10"/>
      <c r="U7" s="10"/>
      <c r="AC7" s="5">
        <f t="shared" si="0"/>
        <v>12.632721336398935</v>
      </c>
      <c r="AD7" s="5">
        <f t="shared" si="0"/>
        <v>-203.70784826568627</v>
      </c>
      <c r="AE7" s="5">
        <f t="shared" si="0"/>
        <v>3937.144342204992</v>
      </c>
      <c r="AF7" s="5">
        <f t="shared" si="0"/>
        <v>-233.47265949275601</v>
      </c>
      <c r="AG7" s="5">
        <f t="shared" si="0"/>
        <v>525.84499834489861</v>
      </c>
      <c r="AH7" s="5">
        <f t="shared" si="0"/>
        <v>-91.8772003696957</v>
      </c>
      <c r="AI7" s="5">
        <f t="shared" si="0"/>
        <v>0.78593275359096049</v>
      </c>
      <c r="AJ7" s="5">
        <f t="shared" si="0"/>
        <v>0.23622866053229949</v>
      </c>
      <c r="AK7" s="5">
        <f t="shared" si="0"/>
        <v>1.9694383428577806</v>
      </c>
      <c r="AL7" s="5">
        <f t="shared" si="0"/>
        <v>5.0508661534520556</v>
      </c>
      <c r="AM7" s="5">
        <f t="shared" si="0"/>
        <v>0.43615685022946893</v>
      </c>
      <c r="AN7" s="5">
        <f t="shared" si="0"/>
        <v>18.625912681556166</v>
      </c>
      <c r="AO7" s="5">
        <f t="shared" si="0"/>
        <v>0.41466004212102969</v>
      </c>
      <c r="AP7" s="5">
        <f t="shared" si="0"/>
        <v>0</v>
      </c>
      <c r="AQ7" s="5">
        <f t="shared" si="0"/>
        <v>795.06692846487613</v>
      </c>
      <c r="AR7" s="5">
        <f t="shared" si="0"/>
        <v>0</v>
      </c>
    </row>
    <row r="8" spans="1:44" x14ac:dyDescent="0.25">
      <c r="B8" s="10" t="s">
        <v>184</v>
      </c>
      <c r="C8" s="87">
        <f>'Cryo Plt Drwg'!E47</f>
        <v>9.9754899488617446E-2</v>
      </c>
      <c r="D8" s="10" t="s">
        <v>185</v>
      </c>
      <c r="E8" s="75">
        <v>30.7</v>
      </c>
      <c r="F8" s="75">
        <v>-127.44</v>
      </c>
      <c r="G8" s="10">
        <v>800</v>
      </c>
      <c r="H8" s="77">
        <v>-297.04000000000002</v>
      </c>
      <c r="I8" s="77">
        <v>707.8</v>
      </c>
      <c r="J8" s="77">
        <v>90.1</v>
      </c>
      <c r="K8" s="76">
        <v>0.99609999999999999</v>
      </c>
      <c r="L8" s="76">
        <v>0.35630000000000001</v>
      </c>
      <c r="M8" s="75">
        <f t="shared" si="1"/>
        <v>2.9704731</v>
      </c>
      <c r="N8" s="75">
        <f t="shared" ref="N8:N19" si="2">E8/M8</f>
        <v>10.335054035668595</v>
      </c>
      <c r="O8" s="76">
        <v>1.0382</v>
      </c>
      <c r="P8" s="76">
        <f t="shared" ref="P8:P19" si="3">13.102/O8</f>
        <v>12.619919090733962</v>
      </c>
      <c r="Q8" s="10">
        <v>0.40799999999999997</v>
      </c>
      <c r="R8" s="10">
        <v>0.92559999999999998</v>
      </c>
      <c r="S8" s="10">
        <v>1768</v>
      </c>
      <c r="T8" s="10">
        <v>65889</v>
      </c>
      <c r="U8" s="75">
        <f>N8*C8/0.3795</f>
        <v>2.7166594902175252</v>
      </c>
      <c r="AC8" s="5">
        <f t="shared" si="0"/>
        <v>3.0624754143005557</v>
      </c>
      <c r="AD8" s="5">
        <f t="shared" si="0"/>
        <v>-12.712764390829408</v>
      </c>
      <c r="AE8" s="5">
        <f t="shared" si="0"/>
        <v>79.803919590893955</v>
      </c>
      <c r="AF8" s="5">
        <f t="shared" si="0"/>
        <v>-29.631195344098927</v>
      </c>
      <c r="AG8" s="5">
        <f t="shared" si="0"/>
        <v>70.606517858043418</v>
      </c>
      <c r="AH8" s="5">
        <f t="shared" si="0"/>
        <v>8.9879164439244317</v>
      </c>
      <c r="AI8" s="5">
        <f t="shared" si="0"/>
        <v>9.9365855380611837E-2</v>
      </c>
      <c r="AJ8" s="5">
        <f t="shared" si="0"/>
        <v>3.5542670687794396E-2</v>
      </c>
      <c r="AK8" s="5">
        <f t="shared" si="0"/>
        <v>0.29631924552414191</v>
      </c>
      <c r="AL8" s="5">
        <f t="shared" si="0"/>
        <v>1.0309722765375509</v>
      </c>
      <c r="AM8" s="5">
        <f t="shared" si="0"/>
        <v>0.10356553664908263</v>
      </c>
      <c r="AN8" s="5">
        <f t="shared" si="0"/>
        <v>1.2588987604506507</v>
      </c>
      <c r="AO8" s="5">
        <f t="shared" si="0"/>
        <v>4.0699998991355915E-2</v>
      </c>
      <c r="AP8" s="5">
        <f t="shared" si="0"/>
        <v>9.2333134966664301E-2</v>
      </c>
      <c r="AQ8" s="5">
        <f t="shared" si="0"/>
        <v>176.36666229587564</v>
      </c>
      <c r="AR8" s="5">
        <f t="shared" si="0"/>
        <v>6572.7505724055145</v>
      </c>
    </row>
    <row r="9" spans="1:44" x14ac:dyDescent="0.25">
      <c r="B9" s="10" t="s">
        <v>186</v>
      </c>
      <c r="C9" s="87">
        <f>'Cryo Plt Drwg'!E48</f>
        <v>5.7218611010172532E-2</v>
      </c>
      <c r="D9" s="10" t="s">
        <v>187</v>
      </c>
      <c r="E9" s="75">
        <v>44.097000000000001</v>
      </c>
      <c r="F9" s="75">
        <v>-43.73</v>
      </c>
      <c r="G9" s="10">
        <v>188</v>
      </c>
      <c r="H9" s="77">
        <v>-305.82</v>
      </c>
      <c r="I9" s="77">
        <v>616.29999999999995</v>
      </c>
      <c r="J9" s="77">
        <v>206.1</v>
      </c>
      <c r="K9" s="76">
        <v>0.98080000000000001</v>
      </c>
      <c r="L9" s="76">
        <v>0.50749999999999995</v>
      </c>
      <c r="M9" s="75">
        <f t="shared" si="1"/>
        <v>4.2310274999999997</v>
      </c>
      <c r="N9" s="75">
        <f t="shared" si="2"/>
        <v>10.422291039233379</v>
      </c>
      <c r="O9" s="76">
        <v>1.5225</v>
      </c>
      <c r="P9" s="76">
        <f t="shared" si="3"/>
        <v>8.6055829228243024</v>
      </c>
      <c r="Q9" s="10">
        <v>0.38869999999999999</v>
      </c>
      <c r="R9" s="10">
        <v>0.59019999999999995</v>
      </c>
      <c r="S9" s="10">
        <v>2517</v>
      </c>
      <c r="T9" s="10">
        <v>90962</v>
      </c>
      <c r="U9" s="75">
        <f t="shared" ref="U9:U18" si="4">N9*C9/0.3795</f>
        <v>1.5714071589162095</v>
      </c>
      <c r="AC9" s="5">
        <f t="shared" si="0"/>
        <v>2.5231690897155783</v>
      </c>
      <c r="AD9" s="5">
        <f t="shared" si="0"/>
        <v>-2.5021698594748445</v>
      </c>
      <c r="AE9" s="5">
        <f t="shared" si="0"/>
        <v>10.757098869912436</v>
      </c>
      <c r="AF9" s="5">
        <f t="shared" si="0"/>
        <v>-17.498595619130963</v>
      </c>
      <c r="AG9" s="5">
        <f t="shared" si="0"/>
        <v>35.263829965569329</v>
      </c>
      <c r="AH9" s="5">
        <f t="shared" si="0"/>
        <v>11.792755729196559</v>
      </c>
      <c r="AI9" s="5">
        <f t="shared" si="0"/>
        <v>5.6120013678777218E-2</v>
      </c>
      <c r="AJ9" s="5">
        <f t="shared" si="0"/>
        <v>2.9038445087662557E-2</v>
      </c>
      <c r="AK9" s="5">
        <f t="shared" si="0"/>
        <v>0.24209351669584275</v>
      </c>
      <c r="AL9" s="5">
        <f t="shared" si="0"/>
        <v>0.59634901680870156</v>
      </c>
      <c r="AM9" s="5">
        <f t="shared" si="0"/>
        <v>8.7115335262987675E-2</v>
      </c>
      <c r="AN9" s="5">
        <f t="shared" si="0"/>
        <v>0.49239950177686737</v>
      </c>
      <c r="AO9" s="5">
        <f t="shared" si="0"/>
        <v>2.2240874099654064E-2</v>
      </c>
      <c r="AP9" s="5">
        <f t="shared" si="0"/>
        <v>3.3770424218203823E-2</v>
      </c>
      <c r="AQ9" s="5">
        <f t="shared" si="0"/>
        <v>144.01924391260425</v>
      </c>
      <c r="AR9" s="5">
        <f t="shared" si="0"/>
        <v>5204.7192947073136</v>
      </c>
    </row>
    <row r="10" spans="1:44" x14ac:dyDescent="0.25">
      <c r="B10" s="10" t="s">
        <v>188</v>
      </c>
      <c r="C10" s="87">
        <f>'Cryo Plt Drwg'!E49</f>
        <v>9.8959339645392167E-3</v>
      </c>
      <c r="D10" s="10" t="s">
        <v>189</v>
      </c>
      <c r="E10" s="75">
        <v>58.124000000000002</v>
      </c>
      <c r="F10" s="75">
        <v>10.74</v>
      </c>
      <c r="G10" s="10">
        <v>72.39</v>
      </c>
      <c r="H10" s="77">
        <v>-255.28</v>
      </c>
      <c r="I10" s="77">
        <v>529.1</v>
      </c>
      <c r="J10" s="77">
        <v>274.95999999999998</v>
      </c>
      <c r="K10" s="76">
        <v>0.96609999999999996</v>
      </c>
      <c r="L10" s="76">
        <v>0.56299999999999994</v>
      </c>
      <c r="M10" s="75">
        <f t="shared" si="1"/>
        <v>4.6937309999999997</v>
      </c>
      <c r="N10" s="75">
        <f t="shared" si="2"/>
        <v>12.383325759401211</v>
      </c>
      <c r="O10" s="76">
        <v>2.0068000000000001</v>
      </c>
      <c r="P10" s="76">
        <f t="shared" si="3"/>
        <v>6.5288020729519634</v>
      </c>
      <c r="Q10" s="10">
        <v>0.38669999999999999</v>
      </c>
      <c r="R10" s="10">
        <v>0.56599999999999995</v>
      </c>
      <c r="S10" s="10">
        <v>3252</v>
      </c>
      <c r="T10" s="10">
        <v>98968</v>
      </c>
      <c r="U10" s="75">
        <f t="shared" si="4"/>
        <v>0.32291060336340405</v>
      </c>
      <c r="AC10" s="5">
        <f t="shared" si="0"/>
        <v>0.57519126575487745</v>
      </c>
      <c r="AD10" s="5">
        <f t="shared" si="0"/>
        <v>0.1062823307791512</v>
      </c>
      <c r="AE10" s="5">
        <f t="shared" si="0"/>
        <v>0.71636665969299396</v>
      </c>
      <c r="AF10" s="5">
        <f t="shared" si="0"/>
        <v>-2.5262340224675714</v>
      </c>
      <c r="AG10" s="5">
        <f t="shared" si="0"/>
        <v>5.2359386606377001</v>
      </c>
      <c r="AH10" s="5">
        <f t="shared" si="0"/>
        <v>2.7209860028897026</v>
      </c>
      <c r="AI10" s="5">
        <f t="shared" si="0"/>
        <v>9.5604618031413374E-3</v>
      </c>
      <c r="AJ10" s="5">
        <f t="shared" si="0"/>
        <v>5.5714108220355782E-3</v>
      </c>
      <c r="AK10" s="5">
        <f t="shared" si="0"/>
        <v>4.6448852023310616E-2</v>
      </c>
      <c r="AL10" s="5">
        <f t="shared" si="0"/>
        <v>0.12254457397641183</v>
      </c>
      <c r="AM10" s="5">
        <f t="shared" si="0"/>
        <v>1.9859160280037303E-2</v>
      </c>
      <c r="AN10" s="5">
        <f t="shared" si="0"/>
        <v>6.4608594181479378E-2</v>
      </c>
      <c r="AO10" s="5">
        <f t="shared" si="0"/>
        <v>3.8267576640873152E-3</v>
      </c>
      <c r="AP10" s="5">
        <f t="shared" si="0"/>
        <v>5.6010986239291962E-3</v>
      </c>
      <c r="AQ10" s="5">
        <f t="shared" si="0"/>
        <v>32.181577252681535</v>
      </c>
      <c r="AR10" s="5">
        <f t="shared" si="0"/>
        <v>979.3807926025172</v>
      </c>
    </row>
    <row r="11" spans="1:44" x14ac:dyDescent="0.25">
      <c r="B11" s="10" t="s">
        <v>190</v>
      </c>
      <c r="C11" s="87">
        <f>'Cryo Plt Drwg'!E50</f>
        <v>1.4311609935886023E-2</v>
      </c>
      <c r="D11" s="10" t="s">
        <v>189</v>
      </c>
      <c r="E11" s="75">
        <v>58.124000000000002</v>
      </c>
      <c r="F11" s="75">
        <v>31.12</v>
      </c>
      <c r="G11" s="10">
        <v>51.54</v>
      </c>
      <c r="H11" s="77">
        <v>-217.05</v>
      </c>
      <c r="I11" s="77">
        <v>550.70000000000005</v>
      </c>
      <c r="J11" s="77">
        <v>305.62</v>
      </c>
      <c r="K11" s="76">
        <v>0.93669999999999998</v>
      </c>
      <c r="L11" s="76">
        <v>0.58430000000000004</v>
      </c>
      <c r="M11" s="75">
        <f t="shared" si="1"/>
        <v>4.8713091000000004</v>
      </c>
      <c r="N11" s="75">
        <f t="shared" si="2"/>
        <v>11.931905532334213</v>
      </c>
      <c r="O11" s="76">
        <v>2.0068000000000001</v>
      </c>
      <c r="P11" s="76">
        <f t="shared" si="3"/>
        <v>6.5288020729519634</v>
      </c>
      <c r="Q11" s="10">
        <v>0.39510000000000001</v>
      </c>
      <c r="R11" s="10">
        <v>0.56599999999999995</v>
      </c>
      <c r="S11" s="10">
        <v>3262</v>
      </c>
      <c r="T11" s="10">
        <v>102918</v>
      </c>
      <c r="U11" s="75">
        <f t="shared" si="4"/>
        <v>0.44997306395417053</v>
      </c>
      <c r="AC11" s="5">
        <f t="shared" si="0"/>
        <v>0.83184801591343926</v>
      </c>
      <c r="AD11" s="5">
        <f t="shared" si="0"/>
        <v>0.44537730120477304</v>
      </c>
      <c r="AE11" s="5">
        <f t="shared" si="0"/>
        <v>0.73762037609556563</v>
      </c>
      <c r="AF11" s="5">
        <f t="shared" si="0"/>
        <v>-3.1063349365840613</v>
      </c>
      <c r="AG11" s="5">
        <f t="shared" si="0"/>
        <v>7.8814035916924334</v>
      </c>
      <c r="AH11" s="5">
        <f t="shared" si="0"/>
        <v>4.3739142286054866</v>
      </c>
      <c r="AI11" s="5">
        <f t="shared" si="0"/>
        <v>1.3405685026944437E-2</v>
      </c>
      <c r="AJ11" s="5">
        <f t="shared" si="0"/>
        <v>8.3622736855382043E-3</v>
      </c>
      <c r="AK11" s="5">
        <f t="shared" si="0"/>
        <v>6.9716275716332002E-2</v>
      </c>
      <c r="AL11" s="5">
        <f t="shared" si="0"/>
        <v>0.17076477777060772</v>
      </c>
      <c r="AM11" s="5">
        <f t="shared" si="0"/>
        <v>2.8720538819336072E-2</v>
      </c>
      <c r="AN11" s="5">
        <f t="shared" si="0"/>
        <v>9.3437668616692574E-2</v>
      </c>
      <c r="AO11" s="5">
        <f t="shared" si="0"/>
        <v>5.6545170856685673E-3</v>
      </c>
      <c r="AP11" s="5">
        <f t="shared" si="0"/>
        <v>8.1003712237114889E-3</v>
      </c>
      <c r="AQ11" s="5">
        <f t="shared" si="0"/>
        <v>46.684471610860207</v>
      </c>
      <c r="AR11" s="5">
        <f t="shared" si="0"/>
        <v>1472.9222713815177</v>
      </c>
    </row>
    <row r="12" spans="1:44" x14ac:dyDescent="0.25">
      <c r="B12" s="10" t="s">
        <v>191</v>
      </c>
      <c r="C12" s="87">
        <f>'Cryo Plt Drwg'!E51</f>
        <v>6.2185432341808951E-3</v>
      </c>
      <c r="D12" s="10" t="s">
        <v>192</v>
      </c>
      <c r="E12" s="75">
        <v>72.150999999999996</v>
      </c>
      <c r="F12" s="75">
        <v>82.11</v>
      </c>
      <c r="G12" s="10">
        <v>20.443999999999999</v>
      </c>
      <c r="H12" s="77">
        <v>-255.82</v>
      </c>
      <c r="I12" s="77">
        <v>490.4</v>
      </c>
      <c r="J12" s="77">
        <v>369.03</v>
      </c>
      <c r="K12" s="76">
        <v>0.94799999999999995</v>
      </c>
      <c r="L12" s="76">
        <v>0.62439999999999996</v>
      </c>
      <c r="M12" s="75">
        <f t="shared" si="1"/>
        <v>5.2056227999999996</v>
      </c>
      <c r="N12" s="75">
        <f t="shared" si="2"/>
        <v>13.860205161234502</v>
      </c>
      <c r="O12" s="76">
        <v>2.4910999999999999</v>
      </c>
      <c r="P12" s="76">
        <f t="shared" si="3"/>
        <v>5.2595239051021645</v>
      </c>
      <c r="Q12" s="10">
        <v>0.38290000000000002</v>
      </c>
      <c r="R12" s="10">
        <v>0.5353</v>
      </c>
      <c r="S12" s="10">
        <v>4000</v>
      </c>
      <c r="T12" s="10">
        <v>108722</v>
      </c>
      <c r="U12" s="75">
        <f t="shared" si="4"/>
        <v>0.22711537557247416</v>
      </c>
      <c r="AC12" s="5">
        <f t="shared" si="0"/>
        <v>0.44867411288938575</v>
      </c>
      <c r="AD12" s="5">
        <f t="shared" si="0"/>
        <v>0.51060458495859329</v>
      </c>
      <c r="AE12" s="5">
        <f t="shared" si="0"/>
        <v>0.12713189787959422</v>
      </c>
      <c r="AF12" s="5">
        <f t="shared" si="0"/>
        <v>-1.5908277301681566</v>
      </c>
      <c r="AG12" s="5">
        <f t="shared" si="0"/>
        <v>3.0495736020423108</v>
      </c>
      <c r="AH12" s="5">
        <f t="shared" si="0"/>
        <v>2.2948290097097757</v>
      </c>
      <c r="AI12" s="5">
        <f t="shared" si="0"/>
        <v>5.8951789860034881E-3</v>
      </c>
      <c r="AJ12" s="5">
        <f t="shared" si="0"/>
        <v>3.8828583954225505E-3</v>
      </c>
      <c r="AK12" s="5">
        <f t="shared" si="0"/>
        <v>3.2371390442637801E-2</v>
      </c>
      <c r="AL12" s="5">
        <f t="shared" si="0"/>
        <v>8.6190285029753941E-2</v>
      </c>
      <c r="AM12" s="5">
        <f t="shared" si="0"/>
        <v>1.5491013050668027E-2</v>
      </c>
      <c r="AN12" s="5">
        <f t="shared" si="0"/>
        <v>3.2706576795085748E-2</v>
      </c>
      <c r="AO12" s="5">
        <f t="shared" si="0"/>
        <v>2.3810802043678649E-3</v>
      </c>
      <c r="AP12" s="5">
        <f t="shared" si="0"/>
        <v>3.328786193257033E-3</v>
      </c>
      <c r="AQ12" s="5">
        <f t="shared" si="0"/>
        <v>24.874172936723582</v>
      </c>
      <c r="AR12" s="5">
        <f t="shared" si="0"/>
        <v>676.09245750661523</v>
      </c>
    </row>
    <row r="13" spans="1:44" x14ac:dyDescent="0.25">
      <c r="B13" s="10" t="s">
        <v>193</v>
      </c>
      <c r="C13" s="87">
        <f>'Cryo Plt Drwg'!E52</f>
        <v>8.7214696353633409E-3</v>
      </c>
      <c r="D13" s="10" t="s">
        <v>192</v>
      </c>
      <c r="E13" s="75">
        <v>72.150999999999996</v>
      </c>
      <c r="F13" s="75">
        <v>96.91</v>
      </c>
      <c r="G13" s="10">
        <v>15.574999999999999</v>
      </c>
      <c r="H13" s="77">
        <v>-201.51</v>
      </c>
      <c r="I13" s="77">
        <v>488.6</v>
      </c>
      <c r="J13" s="77">
        <v>385.6</v>
      </c>
      <c r="K13" s="76">
        <v>0.94199999999999995</v>
      </c>
      <c r="L13" s="76">
        <v>0.63109999999999999</v>
      </c>
      <c r="M13" s="75">
        <f t="shared" si="1"/>
        <v>5.2614806999999999</v>
      </c>
      <c r="N13" s="75">
        <f t="shared" si="2"/>
        <v>13.713059899659044</v>
      </c>
      <c r="O13" s="76">
        <v>2.4910999999999999</v>
      </c>
      <c r="P13" s="76">
        <f t="shared" si="3"/>
        <v>5.2595239051021645</v>
      </c>
      <c r="Q13" s="10">
        <v>0.39900000000000002</v>
      </c>
      <c r="R13" s="10">
        <v>0.54800000000000004</v>
      </c>
      <c r="S13" s="10">
        <v>4008</v>
      </c>
      <c r="T13" s="10">
        <v>110071</v>
      </c>
      <c r="U13" s="75">
        <f t="shared" si="4"/>
        <v>0.31514633866349145</v>
      </c>
      <c r="AC13" s="5">
        <f t="shared" si="0"/>
        <v>0.62926275566110035</v>
      </c>
      <c r="AD13" s="5">
        <f t="shared" si="0"/>
        <v>0.84519762236306129</v>
      </c>
      <c r="AE13" s="5">
        <f t="shared" si="0"/>
        <v>0.13583688957078402</v>
      </c>
      <c r="AF13" s="5">
        <f t="shared" si="0"/>
        <v>-1.7574633462220668</v>
      </c>
      <c r="AG13" s="5">
        <f t="shared" si="0"/>
        <v>4.2613100638385282</v>
      </c>
      <c r="AH13" s="5">
        <f t="shared" si="0"/>
        <v>3.3629986913961045</v>
      </c>
      <c r="AI13" s="5">
        <f t="shared" si="0"/>
        <v>8.215624396512267E-3</v>
      </c>
      <c r="AJ13" s="5">
        <f t="shared" si="0"/>
        <v>5.5041194868778046E-3</v>
      </c>
      <c r="AK13" s="5">
        <f t="shared" si="0"/>
        <v>4.5887844162100254E-2</v>
      </c>
      <c r="AL13" s="5">
        <f t="shared" si="0"/>
        <v>0.11959803552279501</v>
      </c>
      <c r="AM13" s="5">
        <f t="shared" si="0"/>
        <v>2.1726053008653618E-2</v>
      </c>
      <c r="AN13" s="5">
        <f t="shared" si="0"/>
        <v>4.5870778034816151E-2</v>
      </c>
      <c r="AO13" s="5">
        <f t="shared" si="0"/>
        <v>3.4798663845099732E-3</v>
      </c>
      <c r="AP13" s="5">
        <f t="shared" si="0"/>
        <v>4.7793653601791112E-3</v>
      </c>
      <c r="AQ13" s="5">
        <f t="shared" si="0"/>
        <v>34.95565029853627</v>
      </c>
      <c r="AR13" s="5">
        <f t="shared" si="0"/>
        <v>959.9808842340783</v>
      </c>
    </row>
    <row r="14" spans="1:44" x14ac:dyDescent="0.25">
      <c r="B14" s="10" t="s">
        <v>194</v>
      </c>
      <c r="C14" s="87">
        <f>'Cryo Plt Drwg'!E53</f>
        <v>2.3378643964139458E-3</v>
      </c>
      <c r="D14" s="10" t="s">
        <v>195</v>
      </c>
      <c r="E14" s="75">
        <v>86.177999999999997</v>
      </c>
      <c r="F14" s="75">
        <v>155.72999999999999</v>
      </c>
      <c r="G14" s="10">
        <v>4.96</v>
      </c>
      <c r="H14" s="77">
        <v>-139.58000000000001</v>
      </c>
      <c r="I14" s="77">
        <v>710.4</v>
      </c>
      <c r="J14" s="77">
        <v>453.6</v>
      </c>
      <c r="K14" s="76">
        <v>0.91</v>
      </c>
      <c r="L14" s="76">
        <v>0.66400000000000003</v>
      </c>
      <c r="M14" s="75">
        <f t="shared" si="1"/>
        <v>5.535768</v>
      </c>
      <c r="N14" s="75">
        <f t="shared" si="2"/>
        <v>15.567487654829465</v>
      </c>
      <c r="O14" s="76">
        <v>2.9752999999999998</v>
      </c>
      <c r="P14" s="76">
        <f t="shared" si="3"/>
        <v>4.4035895539945553</v>
      </c>
      <c r="Q14" s="10">
        <v>0.38569999999999999</v>
      </c>
      <c r="R14" s="10">
        <v>0.53320000000000001</v>
      </c>
      <c r="S14" s="10">
        <v>4756</v>
      </c>
      <c r="T14" s="10">
        <v>115055</v>
      </c>
      <c r="U14" s="75">
        <f t="shared" si="4"/>
        <v>9.5901647245953722E-2</v>
      </c>
      <c r="AC14" s="5">
        <f t="shared" si="0"/>
        <v>0.20147247795416101</v>
      </c>
      <c r="AD14" s="5">
        <f t="shared" si="0"/>
        <v>0.36407562245354375</v>
      </c>
      <c r="AE14" s="5">
        <f t="shared" si="0"/>
        <v>1.159580740621317E-2</v>
      </c>
      <c r="AF14" s="5">
        <f t="shared" si="0"/>
        <v>-0.32631911245145856</v>
      </c>
      <c r="AG14" s="5">
        <f t="shared" si="0"/>
        <v>1.6608188672124671</v>
      </c>
      <c r="AH14" s="5">
        <f t="shared" si="0"/>
        <v>1.0604552902133659</v>
      </c>
      <c r="AI14" s="5">
        <f t="shared" si="0"/>
        <v>2.1274566007366907E-3</v>
      </c>
      <c r="AJ14" s="5">
        <f t="shared" si="0"/>
        <v>1.55234195921886E-3</v>
      </c>
      <c r="AK14" s="5">
        <f t="shared" si="0"/>
        <v>1.2941874914007636E-2</v>
      </c>
      <c r="AL14" s="5">
        <f t="shared" si="0"/>
        <v>3.6394675129839439E-2</v>
      </c>
      <c r="AM14" s="5">
        <f t="shared" si="0"/>
        <v>6.9558479386504128E-3</v>
      </c>
      <c r="AN14" s="5">
        <f t="shared" si="0"/>
        <v>1.0294995234704238E-2</v>
      </c>
      <c r="AO14" s="5">
        <f t="shared" si="0"/>
        <v>9.0171429769685888E-4</v>
      </c>
      <c r="AP14" s="5">
        <f t="shared" si="0"/>
        <v>1.2465492961679159E-3</v>
      </c>
      <c r="AQ14" s="5">
        <f t="shared" si="0"/>
        <v>11.118883069344726</v>
      </c>
      <c r="AR14" s="5">
        <f t="shared" si="0"/>
        <v>268.98298812940652</v>
      </c>
    </row>
    <row r="15" spans="1:44" x14ac:dyDescent="0.25">
      <c r="B15" s="10" t="s">
        <v>196</v>
      </c>
      <c r="C15" s="87">
        <f>'Cryo Plt Drwg'!E54/4</f>
        <v>3.025932239290721E-4</v>
      </c>
      <c r="D15" s="10" t="s">
        <v>197</v>
      </c>
      <c r="E15" s="75">
        <v>78.114000000000004</v>
      </c>
      <c r="F15" s="75">
        <v>176.16</v>
      </c>
      <c r="G15" s="10">
        <v>3.2250000000000001</v>
      </c>
      <c r="H15" s="77">
        <v>41.96</v>
      </c>
      <c r="I15" s="77">
        <v>710.4</v>
      </c>
      <c r="J15" s="77">
        <v>552.22</v>
      </c>
      <c r="K15" s="76">
        <v>0.92900000000000005</v>
      </c>
      <c r="L15" s="76">
        <v>0.88449999999999995</v>
      </c>
      <c r="M15" s="75">
        <f t="shared" si="1"/>
        <v>7.3740764999999993</v>
      </c>
      <c r="N15" s="75">
        <f t="shared" si="2"/>
        <v>10.593055279532292</v>
      </c>
      <c r="O15" s="76">
        <v>2.6968999999999999</v>
      </c>
      <c r="P15" s="76">
        <f t="shared" si="3"/>
        <v>4.8581704920464244</v>
      </c>
      <c r="Q15" s="10">
        <v>0.2422</v>
      </c>
      <c r="R15" s="10">
        <v>0.4098</v>
      </c>
      <c r="S15" s="10">
        <v>3741</v>
      </c>
      <c r="T15" s="10">
        <v>132651</v>
      </c>
      <c r="U15" s="75">
        <f t="shared" si="4"/>
        <v>8.4463418927340043E-3</v>
      </c>
      <c r="AC15" s="5">
        <f t="shared" si="0"/>
        <v>2.363676709399554E-2</v>
      </c>
      <c r="AD15" s="5">
        <f t="shared" si="0"/>
        <v>5.330482232734534E-2</v>
      </c>
      <c r="AE15" s="5">
        <f t="shared" si="0"/>
        <v>9.7586314717125759E-4</v>
      </c>
      <c r="AF15" s="5">
        <f t="shared" si="0"/>
        <v>1.2696811676063865E-2</v>
      </c>
      <c r="AG15" s="5">
        <f t="shared" si="0"/>
        <v>0.2149622262792128</v>
      </c>
      <c r="AH15" s="5">
        <f t="shared" si="0"/>
        <v>0.1670980301181122</v>
      </c>
      <c r="AI15" s="5">
        <f t="shared" si="0"/>
        <v>2.8110910503010802E-4</v>
      </c>
      <c r="AJ15" s="5">
        <f t="shared" si="0"/>
        <v>2.6764370656526428E-4</v>
      </c>
      <c r="AK15" s="5">
        <f t="shared" si="0"/>
        <v>2.2313455816346081E-3</v>
      </c>
      <c r="AL15" s="5">
        <f t="shared" si="0"/>
        <v>3.2053867482925544E-3</v>
      </c>
      <c r="AM15" s="5">
        <f t="shared" si="0"/>
        <v>8.1606366561431454E-4</v>
      </c>
      <c r="AN15" s="5">
        <f t="shared" si="0"/>
        <v>1.4700494715854141E-3</v>
      </c>
      <c r="AO15" s="5">
        <f t="shared" si="0"/>
        <v>7.3288078835621266E-5</v>
      </c>
      <c r="AP15" s="5">
        <f t="shared" si="0"/>
        <v>1.2400270316613376E-4</v>
      </c>
      <c r="AQ15" s="5">
        <f t="shared" si="0"/>
        <v>1.1320012507186588</v>
      </c>
      <c r="AR15" s="5">
        <f t="shared" si="0"/>
        <v>40.139293747415344</v>
      </c>
    </row>
    <row r="16" spans="1:44" x14ac:dyDescent="0.25">
      <c r="B16" s="10" t="s">
        <v>198</v>
      </c>
      <c r="C16" s="87">
        <f>C15</f>
        <v>3.025932239290721E-4</v>
      </c>
      <c r="D16" s="10" t="s">
        <v>199</v>
      </c>
      <c r="E16" s="75">
        <v>92.141000000000005</v>
      </c>
      <c r="F16" s="75">
        <v>231.13</v>
      </c>
      <c r="G16" s="10">
        <v>1.0029999999999999</v>
      </c>
      <c r="H16" s="77">
        <v>-138.97999999999999</v>
      </c>
      <c r="I16" s="77">
        <v>595.5</v>
      </c>
      <c r="J16" s="77">
        <v>605.57000000000005</v>
      </c>
      <c r="K16" s="76">
        <v>0.90300000000000002</v>
      </c>
      <c r="L16" s="76">
        <v>0.87190000000000001</v>
      </c>
      <c r="M16" s="75">
        <f t="shared" si="1"/>
        <v>7.2690302999999998</v>
      </c>
      <c r="N16" s="75">
        <f t="shared" si="2"/>
        <v>12.675831052733404</v>
      </c>
      <c r="O16" s="76">
        <v>3.1812</v>
      </c>
      <c r="P16" s="76">
        <f t="shared" si="3"/>
        <v>4.118571608198164</v>
      </c>
      <c r="Q16" s="10">
        <v>0.25979999999999998</v>
      </c>
      <c r="R16" s="10">
        <v>0.40089999999999998</v>
      </c>
      <c r="S16" s="10">
        <v>4475</v>
      </c>
      <c r="T16" s="10">
        <v>132659</v>
      </c>
      <c r="U16" s="75">
        <f t="shared" si="4"/>
        <v>1.0107037112587206E-2</v>
      </c>
      <c r="AC16" s="5">
        <f t="shared" si="0"/>
        <v>2.7881242246048633E-2</v>
      </c>
      <c r="AD16" s="5">
        <f t="shared" si="0"/>
        <v>6.9938371846726438E-2</v>
      </c>
      <c r="AE16" s="5">
        <f t="shared" si="0"/>
        <v>3.0350100360085927E-4</v>
      </c>
      <c r="AF16" s="5">
        <f t="shared" si="0"/>
        <v>-4.2054406261662437E-2</v>
      </c>
      <c r="AG16" s="5">
        <f t="shared" si="0"/>
        <v>0.18019426484976245</v>
      </c>
      <c r="AH16" s="5">
        <f t="shared" si="0"/>
        <v>0.1832413786147282</v>
      </c>
      <c r="AI16" s="5">
        <f t="shared" si="0"/>
        <v>2.732416812079521E-4</v>
      </c>
      <c r="AJ16" s="5">
        <f t="shared" si="0"/>
        <v>2.6383103194375798E-4</v>
      </c>
      <c r="AK16" s="5">
        <f t="shared" si="0"/>
        <v>2.1995593133151102E-3</v>
      </c>
      <c r="AL16" s="5">
        <f t="shared" si="0"/>
        <v>3.8356205842268445E-3</v>
      </c>
      <c r="AM16" s="5">
        <f t="shared" si="0"/>
        <v>9.6260956396316416E-4</v>
      </c>
      <c r="AN16" s="5">
        <f t="shared" si="0"/>
        <v>1.2462518609074257E-3</v>
      </c>
      <c r="AO16" s="5">
        <f t="shared" si="0"/>
        <v>7.8613719576772924E-5</v>
      </c>
      <c r="AP16" s="5">
        <f t="shared" si="0"/>
        <v>1.21309623473165E-4</v>
      </c>
      <c r="AQ16" s="5">
        <f t="shared" si="0"/>
        <v>1.3541046770825977</v>
      </c>
      <c r="AR16" s="5">
        <f t="shared" si="0"/>
        <v>40.141714493206777</v>
      </c>
    </row>
    <row r="17" spans="1:44" x14ac:dyDescent="0.25">
      <c r="B17" s="10" t="s">
        <v>200</v>
      </c>
      <c r="C17" s="87">
        <f>C16</f>
        <v>3.025932239290721E-4</v>
      </c>
      <c r="D17" s="10" t="s">
        <v>201</v>
      </c>
      <c r="E17" s="75">
        <v>106.16800000000001</v>
      </c>
      <c r="F17" s="75">
        <v>277.16000000000003</v>
      </c>
      <c r="G17" s="10">
        <v>0.37159999999999999</v>
      </c>
      <c r="H17" s="77">
        <v>-138.96</v>
      </c>
      <c r="I17" s="77">
        <v>523.4</v>
      </c>
      <c r="J17" s="77">
        <v>651.29</v>
      </c>
      <c r="K17" s="76"/>
      <c r="L17" s="76">
        <v>0.87170000000000003</v>
      </c>
      <c r="M17" s="75">
        <f t="shared" si="1"/>
        <v>7.2673629000000002</v>
      </c>
      <c r="N17" s="75">
        <f t="shared" si="2"/>
        <v>14.608875524848223</v>
      </c>
      <c r="O17" s="76">
        <v>3.6655000000000002</v>
      </c>
      <c r="P17" s="76">
        <f t="shared" si="3"/>
        <v>3.5744100395580412</v>
      </c>
      <c r="Q17" s="10">
        <v>0.27950000000000003</v>
      </c>
      <c r="R17" s="10">
        <v>0.4113</v>
      </c>
      <c r="S17" s="10">
        <v>5222</v>
      </c>
      <c r="T17" s="10">
        <v>134381</v>
      </c>
      <c r="U17" s="75">
        <f t="shared" si="4"/>
        <v>1.1648344513945556E-2</v>
      </c>
      <c r="AC17" s="5">
        <f t="shared" si="0"/>
        <v>3.212571739810173E-2</v>
      </c>
      <c r="AD17" s="5">
        <f t="shared" si="0"/>
        <v>8.3866737944181632E-2</v>
      </c>
      <c r="AE17" s="5">
        <f t="shared" si="0"/>
        <v>1.1244364201204319E-4</v>
      </c>
      <c r="AF17" s="5">
        <f t="shared" si="0"/>
        <v>-4.2048354397183858E-2</v>
      </c>
      <c r="AG17" s="5">
        <f t="shared" si="0"/>
        <v>0.15837729340447632</v>
      </c>
      <c r="AH17" s="5">
        <f t="shared" si="0"/>
        <v>0.19707594081276536</v>
      </c>
      <c r="AI17" s="5">
        <f t="shared" si="0"/>
        <v>0</v>
      </c>
      <c r="AJ17" s="5">
        <f t="shared" si="0"/>
        <v>2.6377051329897215E-4</v>
      </c>
      <c r="AK17" s="5">
        <f t="shared" si="0"/>
        <v>2.1990547693735308E-3</v>
      </c>
      <c r="AL17" s="5">
        <f t="shared" si="0"/>
        <v>4.4205467430423386E-3</v>
      </c>
      <c r="AM17" s="5">
        <f t="shared" si="0"/>
        <v>1.1091554623120139E-3</v>
      </c>
      <c r="AN17" s="5">
        <f t="shared" si="0"/>
        <v>1.0815922575143097E-3</v>
      </c>
      <c r="AO17" s="5">
        <f t="shared" si="0"/>
        <v>8.4574806088175654E-5</v>
      </c>
      <c r="AP17" s="5">
        <f t="shared" si="0"/>
        <v>1.2445659300202734E-4</v>
      </c>
      <c r="AQ17" s="5">
        <f t="shared" si="0"/>
        <v>1.5801418153576146</v>
      </c>
      <c r="AR17" s="5">
        <f t="shared" si="0"/>
        <v>40.662780024812641</v>
      </c>
    </row>
    <row r="18" spans="1:44" x14ac:dyDescent="0.25">
      <c r="B18" s="10" t="s">
        <v>202</v>
      </c>
      <c r="C18" s="87">
        <f>C17</f>
        <v>3.025932239290721E-4</v>
      </c>
      <c r="D18" s="10" t="s">
        <v>203</v>
      </c>
      <c r="E18" s="75">
        <v>106.16800000000001</v>
      </c>
      <c r="F18" s="75">
        <v>291.97000000000003</v>
      </c>
      <c r="G18" s="10">
        <v>0.26429999999999998</v>
      </c>
      <c r="H18" s="77">
        <v>-13.32</v>
      </c>
      <c r="I18" s="77">
        <v>541.6</v>
      </c>
      <c r="J18" s="77">
        <v>674.92</v>
      </c>
      <c r="K18" s="76"/>
      <c r="L18" s="76">
        <v>0.88470000000000004</v>
      </c>
      <c r="M18" s="75">
        <f t="shared" si="1"/>
        <v>7.3757438999999998</v>
      </c>
      <c r="N18" s="75">
        <f t="shared" si="2"/>
        <v>14.394209104792807</v>
      </c>
      <c r="O18" s="76">
        <v>3.6655000000000002</v>
      </c>
      <c r="P18" s="76">
        <f t="shared" si="3"/>
        <v>3.5744100395580412</v>
      </c>
      <c r="Q18" s="10">
        <v>0.29139999999999999</v>
      </c>
      <c r="R18" s="10">
        <v>0.41610000000000003</v>
      </c>
      <c r="S18" s="10">
        <v>5209</v>
      </c>
      <c r="T18" s="10">
        <v>136036</v>
      </c>
      <c r="U18" s="75">
        <f t="shared" si="4"/>
        <v>1.1477180866741656E-2</v>
      </c>
      <c r="AC18" s="5">
        <f t="shared" si="0"/>
        <v>3.212571739810173E-2</v>
      </c>
      <c r="AD18" s="5">
        <f t="shared" si="0"/>
        <v>8.8348143590571193E-2</v>
      </c>
      <c r="AE18" s="5">
        <f t="shared" si="0"/>
        <v>7.9975389084453749E-5</v>
      </c>
      <c r="AF18" s="5">
        <f t="shared" si="0"/>
        <v>-4.0305417427352408E-3</v>
      </c>
      <c r="AG18" s="5">
        <f t="shared" si="0"/>
        <v>0.16388449007998546</v>
      </c>
      <c r="AH18" s="5">
        <f t="shared" si="0"/>
        <v>0.20422621869420932</v>
      </c>
      <c r="AI18" s="5">
        <f t="shared" si="0"/>
        <v>0</v>
      </c>
      <c r="AJ18" s="5">
        <f t="shared" si="0"/>
        <v>2.6770422521005011E-4</v>
      </c>
      <c r="AK18" s="5">
        <f t="shared" si="0"/>
        <v>2.2318501255761875E-3</v>
      </c>
      <c r="AL18" s="5">
        <f t="shared" si="0"/>
        <v>4.3555901389284585E-3</v>
      </c>
      <c r="AM18" s="5">
        <f t="shared" si="0"/>
        <v>1.1091554623120139E-3</v>
      </c>
      <c r="AN18" s="5">
        <f t="shared" si="0"/>
        <v>1.0815922575143097E-3</v>
      </c>
      <c r="AO18" s="5">
        <f t="shared" si="0"/>
        <v>8.8175665452931611E-5</v>
      </c>
      <c r="AP18" s="5">
        <f t="shared" si="0"/>
        <v>1.259090404768869E-4</v>
      </c>
      <c r="AQ18" s="5">
        <f t="shared" si="0"/>
        <v>1.5762081034465365</v>
      </c>
      <c r="AR18" s="5">
        <f t="shared" si="0"/>
        <v>41.163571810415249</v>
      </c>
    </row>
    <row r="19" spans="1:44" x14ac:dyDescent="0.25">
      <c r="B19" s="10" t="s">
        <v>2</v>
      </c>
      <c r="C19" s="87">
        <f>'Cryo Plt Drwg'!E55</f>
        <v>0</v>
      </c>
      <c r="D19" s="10" t="s">
        <v>204</v>
      </c>
      <c r="E19" s="75">
        <v>18.015000000000001</v>
      </c>
      <c r="F19" s="75">
        <v>212</v>
      </c>
      <c r="G19" s="10">
        <v>0.94950000000000001</v>
      </c>
      <c r="H19" s="77">
        <v>32</v>
      </c>
      <c r="I19" s="77">
        <v>3207.9</v>
      </c>
      <c r="J19" s="77">
        <v>705.5</v>
      </c>
      <c r="K19" s="76">
        <v>0.34339999999999998</v>
      </c>
      <c r="L19" s="76">
        <v>1</v>
      </c>
      <c r="M19" s="75">
        <v>8.3369999999999997</v>
      </c>
      <c r="N19" s="75">
        <f t="shared" si="2"/>
        <v>2.1608492263404102</v>
      </c>
      <c r="O19" s="76">
        <v>0.622</v>
      </c>
      <c r="P19" s="76">
        <f t="shared" si="3"/>
        <v>21.064308681672028</v>
      </c>
      <c r="Q19" s="10">
        <v>0.44469999999999998</v>
      </c>
      <c r="R19" s="10">
        <v>1.0009999999999999</v>
      </c>
      <c r="S19" s="10">
        <v>49</v>
      </c>
      <c r="T19" s="10">
        <v>0</v>
      </c>
      <c r="U19" s="75"/>
      <c r="AC19" s="5">
        <f t="shared" si="0"/>
        <v>0</v>
      </c>
      <c r="AD19" s="5">
        <f t="shared" si="0"/>
        <v>0</v>
      </c>
      <c r="AE19" s="5">
        <f t="shared" si="0"/>
        <v>0</v>
      </c>
      <c r="AF19" s="5">
        <f t="shared" si="0"/>
        <v>0</v>
      </c>
      <c r="AG19" s="5">
        <f t="shared" si="0"/>
        <v>0</v>
      </c>
      <c r="AH19" s="5">
        <f t="shared" si="0"/>
        <v>0</v>
      </c>
      <c r="AI19" s="5">
        <f t="shared" si="0"/>
        <v>0</v>
      </c>
      <c r="AJ19" s="5">
        <f t="shared" si="0"/>
        <v>0</v>
      </c>
      <c r="AK19" s="5">
        <f t="shared" si="0"/>
        <v>0</v>
      </c>
      <c r="AL19" s="5">
        <f t="shared" si="0"/>
        <v>0</v>
      </c>
      <c r="AM19" s="5">
        <f t="shared" si="0"/>
        <v>0</v>
      </c>
      <c r="AN19" s="5">
        <f t="shared" si="0"/>
        <v>0</v>
      </c>
      <c r="AO19" s="5">
        <f t="shared" si="0"/>
        <v>0</v>
      </c>
      <c r="AP19" s="5">
        <f t="shared" si="0"/>
        <v>0</v>
      </c>
      <c r="AQ19" s="5">
        <f t="shared" si="0"/>
        <v>0</v>
      </c>
      <c r="AR19" s="5">
        <f>T19*$C19</f>
        <v>0</v>
      </c>
    </row>
    <row r="20" spans="1:44" x14ac:dyDescent="0.25">
      <c r="B20" s="78" t="s">
        <v>205</v>
      </c>
      <c r="C20" s="90">
        <f>SUM(C4:C19)</f>
        <v>0.99983817300188826</v>
      </c>
      <c r="D20" s="78"/>
      <c r="E20" s="79">
        <f>AC20</f>
        <v>21.499846582724288</v>
      </c>
      <c r="F20" s="79">
        <f t="shared" ref="F20:T20" si="5">AD20</f>
        <v>-218.70550485852257</v>
      </c>
      <c r="G20" s="79">
        <f t="shared" si="5"/>
        <v>4029.4353840796257</v>
      </c>
      <c r="H20" s="79">
        <f t="shared" si="5"/>
        <v>-292.27994659460478</v>
      </c>
      <c r="I20" s="79">
        <f t="shared" si="5"/>
        <v>665.2243292285483</v>
      </c>
      <c r="J20" s="79">
        <f t="shared" si="5"/>
        <v>-57.043940905520451</v>
      </c>
      <c r="K20" s="79">
        <f t="shared" si="5"/>
        <v>0.99387362254992551</v>
      </c>
      <c r="L20" s="79">
        <f t="shared" si="5"/>
        <v>0.33712021613386756</v>
      </c>
      <c r="M20" s="79">
        <f t="shared" si="5"/>
        <v>2.8105712419080526</v>
      </c>
      <c r="N20" s="79">
        <f t="shared" si="5"/>
        <v>7.3000198034339725</v>
      </c>
      <c r="O20" s="79">
        <f t="shared" si="5"/>
        <v>0.74013734939308629</v>
      </c>
      <c r="P20" s="79">
        <f t="shared" si="5"/>
        <v>20.763944492493987</v>
      </c>
      <c r="Q20" s="79">
        <f t="shared" si="5"/>
        <v>0.49695620911832378</v>
      </c>
      <c r="R20" s="79">
        <f t="shared" si="5"/>
        <v>0.14965540784223105</v>
      </c>
      <c r="S20" s="79">
        <f t="shared" si="5"/>
        <v>1270.9100456881079</v>
      </c>
      <c r="T20" s="79">
        <f t="shared" si="5"/>
        <v>16296.936621042814</v>
      </c>
      <c r="U20" s="79">
        <f>SUM(U8:U18)</f>
        <v>5.7407925823192363</v>
      </c>
      <c r="V20" s="66"/>
      <c r="W20" s="66"/>
      <c r="X20" s="66"/>
      <c r="Y20" s="66"/>
      <c r="Z20" s="66"/>
      <c r="AA20" s="66"/>
      <c r="AC20" s="5">
        <f>SUM(AC4:AC19)</f>
        <v>21.499846582724288</v>
      </c>
      <c r="AD20" s="5">
        <f t="shared" ref="AD20:AR20" si="6">SUM(AD4:AD19)</f>
        <v>-218.70550485852257</v>
      </c>
      <c r="AE20" s="5">
        <f t="shared" si="6"/>
        <v>4029.4353840796257</v>
      </c>
      <c r="AF20" s="5">
        <f t="shared" si="6"/>
        <v>-292.27994659460478</v>
      </c>
      <c r="AG20" s="5">
        <f t="shared" si="6"/>
        <v>665.2243292285483</v>
      </c>
      <c r="AH20" s="5">
        <f t="shared" si="6"/>
        <v>-57.043940905520451</v>
      </c>
      <c r="AI20" s="5">
        <f t="shared" si="6"/>
        <v>0.99387362254992551</v>
      </c>
      <c r="AJ20" s="5">
        <f t="shared" si="6"/>
        <v>0.33712021613386756</v>
      </c>
      <c r="AK20" s="5">
        <f t="shared" si="6"/>
        <v>2.8105712419080526</v>
      </c>
      <c r="AL20" s="5">
        <f t="shared" si="6"/>
        <v>7.3000198034339725</v>
      </c>
      <c r="AM20" s="5">
        <f t="shared" si="6"/>
        <v>0.74013734939308629</v>
      </c>
      <c r="AN20" s="5">
        <f t="shared" si="6"/>
        <v>20.763944492493987</v>
      </c>
      <c r="AO20" s="5">
        <f t="shared" si="6"/>
        <v>0.49695620911832378</v>
      </c>
      <c r="AP20" s="5">
        <f t="shared" si="6"/>
        <v>0.14965540784223105</v>
      </c>
      <c r="AQ20" s="5">
        <f t="shared" si="6"/>
        <v>1270.9100456881079</v>
      </c>
      <c r="AR20" s="5">
        <f t="shared" si="6"/>
        <v>16296.936621042814</v>
      </c>
    </row>
    <row r="21" spans="1:44" x14ac:dyDescent="0.25">
      <c r="E21" s="66"/>
      <c r="F21" s="66"/>
      <c r="G21" s="66"/>
      <c r="H21" s="66"/>
      <c r="I21" s="66"/>
      <c r="J21" s="66"/>
      <c r="K21" s="66"/>
      <c r="L21" s="66"/>
      <c r="M21" s="66"/>
      <c r="O21" s="66"/>
      <c r="P21" s="66" t="s">
        <v>19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1:44" x14ac:dyDescent="0.25">
      <c r="A22" s="68" t="s">
        <v>206</v>
      </c>
    </row>
    <row r="23" spans="1:44" x14ac:dyDescent="0.25">
      <c r="C23" s="16" t="s">
        <v>207</v>
      </c>
    </row>
    <row r="24" spans="1:44" x14ac:dyDescent="0.25">
      <c r="C24" s="53" t="s">
        <v>208</v>
      </c>
      <c r="K24" s="49" t="s">
        <v>209</v>
      </c>
      <c r="M24" s="5" t="s">
        <v>210</v>
      </c>
      <c r="N24" s="66">
        <f>1-N38</f>
        <v>0.80257935299570038</v>
      </c>
    </row>
    <row r="25" spans="1:44" x14ac:dyDescent="0.25">
      <c r="B25" s="10" t="s">
        <v>178</v>
      </c>
      <c r="C25" s="87">
        <v>0</v>
      </c>
      <c r="AB25" s="5">
        <f>C4*C25</f>
        <v>0</v>
      </c>
    </row>
    <row r="26" spans="1:44" x14ac:dyDescent="0.25">
      <c r="B26" s="10" t="s">
        <v>179</v>
      </c>
      <c r="C26" s="87">
        <v>0.4</v>
      </c>
      <c r="AB26" s="5">
        <f t="shared" ref="AB26:AB40" si="7">C5*C26</f>
        <v>3.0600000000000002E-3</v>
      </c>
    </row>
    <row r="27" spans="1:44" x14ac:dyDescent="0.25">
      <c r="B27" s="10" t="s">
        <v>181</v>
      </c>
      <c r="C27" s="87">
        <v>0.8</v>
      </c>
      <c r="AB27" s="5">
        <f t="shared" si="7"/>
        <v>0</v>
      </c>
    </row>
    <row r="28" spans="1:44" x14ac:dyDescent="0.25">
      <c r="B28" s="10" t="s">
        <v>182</v>
      </c>
      <c r="C28" s="87">
        <v>5.0000000000000001E-3</v>
      </c>
      <c r="AB28" s="5">
        <f t="shared" si="7"/>
        <v>3.9371443422049918E-3</v>
      </c>
    </row>
    <row r="29" spans="1:44" x14ac:dyDescent="0.25">
      <c r="B29" s="10" t="s">
        <v>184</v>
      </c>
      <c r="C29" s="87">
        <f>'Design Basis'!B26</f>
        <v>0.92</v>
      </c>
      <c r="AB29" s="5">
        <f t="shared" si="7"/>
        <v>9.1774507529528052E-2</v>
      </c>
    </row>
    <row r="30" spans="1:44" x14ac:dyDescent="0.25">
      <c r="B30" s="10" t="s">
        <v>186</v>
      </c>
      <c r="C30" s="87">
        <f>'Design Basis'!B27</f>
        <v>0.98</v>
      </c>
      <c r="G30" s="49" t="s">
        <v>168</v>
      </c>
      <c r="AB30" s="5">
        <f t="shared" si="7"/>
        <v>5.6074238789969082E-2</v>
      </c>
    </row>
    <row r="31" spans="1:44" x14ac:dyDescent="0.25">
      <c r="B31" s="10" t="s">
        <v>188</v>
      </c>
      <c r="C31" s="87">
        <f>'Design Basis'!B28</f>
        <v>0.995</v>
      </c>
      <c r="AB31" s="5">
        <f t="shared" si="7"/>
        <v>9.8464542947165213E-3</v>
      </c>
    </row>
    <row r="32" spans="1:44" x14ac:dyDescent="0.25">
      <c r="B32" s="10" t="s">
        <v>190</v>
      </c>
      <c r="C32" s="87">
        <f>C31</f>
        <v>0.995</v>
      </c>
      <c r="AB32" s="5">
        <f t="shared" si="7"/>
        <v>1.4240051886206593E-2</v>
      </c>
    </row>
    <row r="33" spans="1:44" x14ac:dyDescent="0.25">
      <c r="B33" s="10" t="s">
        <v>191</v>
      </c>
      <c r="C33" s="87">
        <v>1</v>
      </c>
      <c r="G33" s="5">
        <f>C20</f>
        <v>0.99983817300188826</v>
      </c>
      <c r="AB33" s="5">
        <f t="shared" si="7"/>
        <v>6.2185432341808951E-3</v>
      </c>
    </row>
    <row r="34" spans="1:44" x14ac:dyDescent="0.25">
      <c r="B34" s="10" t="s">
        <v>193</v>
      </c>
      <c r="C34" s="87">
        <v>1</v>
      </c>
      <c r="AB34" s="5">
        <f t="shared" si="7"/>
        <v>8.7214696353633409E-3</v>
      </c>
    </row>
    <row r="35" spans="1:44" x14ac:dyDescent="0.25">
      <c r="B35" s="10" t="s">
        <v>194</v>
      </c>
      <c r="C35" s="87">
        <v>1</v>
      </c>
      <c r="AB35" s="5">
        <f t="shared" si="7"/>
        <v>2.3378643964139458E-3</v>
      </c>
    </row>
    <row r="36" spans="1:44" x14ac:dyDescent="0.25">
      <c r="B36" s="10" t="s">
        <v>196</v>
      </c>
      <c r="C36" s="87">
        <v>1</v>
      </c>
      <c r="AB36" s="5">
        <f t="shared" si="7"/>
        <v>3.025932239290721E-4</v>
      </c>
    </row>
    <row r="37" spans="1:44" x14ac:dyDescent="0.25">
      <c r="B37" s="10" t="s">
        <v>198</v>
      </c>
      <c r="C37" s="87">
        <v>1</v>
      </c>
      <c r="AB37" s="5">
        <f t="shared" si="7"/>
        <v>3.025932239290721E-4</v>
      </c>
    </row>
    <row r="38" spans="1:44" x14ac:dyDescent="0.25">
      <c r="B38" s="10" t="s">
        <v>200</v>
      </c>
      <c r="C38" s="87">
        <v>1</v>
      </c>
      <c r="K38" s="49" t="s">
        <v>211</v>
      </c>
      <c r="M38" s="5" t="s">
        <v>212</v>
      </c>
      <c r="N38" s="66">
        <f>AB41</f>
        <v>0.19742064700429965</v>
      </c>
      <c r="AB38" s="5">
        <f t="shared" si="7"/>
        <v>3.025932239290721E-4</v>
      </c>
    </row>
    <row r="39" spans="1:44" x14ac:dyDescent="0.25">
      <c r="B39" s="10" t="s">
        <v>202</v>
      </c>
      <c r="C39" s="87">
        <v>1</v>
      </c>
      <c r="AB39" s="5">
        <f t="shared" si="7"/>
        <v>3.025932239290721E-4</v>
      </c>
    </row>
    <row r="40" spans="1:44" x14ac:dyDescent="0.25">
      <c r="B40" s="10" t="s">
        <v>2</v>
      </c>
      <c r="C40" s="87">
        <v>0</v>
      </c>
      <c r="AB40" s="5">
        <f t="shared" si="7"/>
        <v>0</v>
      </c>
    </row>
    <row r="41" spans="1:44" x14ac:dyDescent="0.25">
      <c r="AB41" s="5">
        <f>SUM(AB25:AB40)</f>
        <v>0.19742064700429965</v>
      </c>
    </row>
    <row r="44" spans="1:44" x14ac:dyDescent="0.25">
      <c r="A44" s="68" t="s">
        <v>213</v>
      </c>
    </row>
    <row r="45" spans="1:44" x14ac:dyDescent="0.25">
      <c r="C45" s="80" t="s">
        <v>148</v>
      </c>
      <c r="D45" s="16"/>
      <c r="E45" s="16"/>
      <c r="F45" s="16" t="s">
        <v>149</v>
      </c>
      <c r="G45" s="16" t="s">
        <v>150</v>
      </c>
      <c r="H45" s="16" t="s">
        <v>151</v>
      </c>
      <c r="I45" s="16" t="s">
        <v>152</v>
      </c>
      <c r="J45" s="16" t="s">
        <v>153</v>
      </c>
      <c r="K45" s="16"/>
      <c r="L45" s="299" t="s">
        <v>154</v>
      </c>
      <c r="M45" s="300"/>
      <c r="N45" s="301"/>
      <c r="O45" s="297" t="s">
        <v>155</v>
      </c>
      <c r="P45" s="298"/>
      <c r="Q45" s="16" t="s">
        <v>156</v>
      </c>
      <c r="R45" s="81" t="s">
        <v>157</v>
      </c>
      <c r="S45" s="16" t="s">
        <v>158</v>
      </c>
      <c r="T45" s="81" t="s">
        <v>159</v>
      </c>
      <c r="U45" s="16" t="s">
        <v>160</v>
      </c>
    </row>
    <row r="46" spans="1:44" x14ac:dyDescent="0.25">
      <c r="C46" s="82" t="s">
        <v>161</v>
      </c>
      <c r="D46" s="53" t="s">
        <v>162</v>
      </c>
      <c r="E46" s="53" t="s">
        <v>163</v>
      </c>
      <c r="F46" s="74" t="s">
        <v>164</v>
      </c>
      <c r="G46" s="74" t="s">
        <v>165</v>
      </c>
      <c r="H46" s="53" t="s">
        <v>166</v>
      </c>
      <c r="I46" s="53" t="s">
        <v>167</v>
      </c>
      <c r="J46" s="53" t="s">
        <v>168</v>
      </c>
      <c r="K46" s="53" t="s">
        <v>169</v>
      </c>
      <c r="L46" s="83" t="s">
        <v>170</v>
      </c>
      <c r="M46" s="83" t="s">
        <v>171</v>
      </c>
      <c r="N46" s="84" t="s">
        <v>172</v>
      </c>
      <c r="O46" s="76" t="s">
        <v>170</v>
      </c>
      <c r="P46" s="76" t="s">
        <v>173</v>
      </c>
      <c r="Q46" s="53" t="s">
        <v>174</v>
      </c>
      <c r="R46" s="85" t="s">
        <v>174</v>
      </c>
      <c r="S46" s="53" t="s">
        <v>175</v>
      </c>
      <c r="T46" s="85" t="s">
        <v>176</v>
      </c>
      <c r="U46" s="53" t="s">
        <v>177</v>
      </c>
    </row>
    <row r="47" spans="1:44" x14ac:dyDescent="0.25">
      <c r="B47" s="10" t="s">
        <v>178</v>
      </c>
      <c r="C47" s="98">
        <f>(C4-AB25)/$N$24</f>
        <v>6.3420520114317825E-3</v>
      </c>
      <c r="D47" s="10" t="s">
        <v>5</v>
      </c>
      <c r="E47" s="75">
        <v>28.013000000000002</v>
      </c>
      <c r="F47" s="75">
        <v>-297.33199999999999</v>
      </c>
      <c r="G47" s="10"/>
      <c r="H47" s="77">
        <v>-346</v>
      </c>
      <c r="I47" s="77">
        <v>493</v>
      </c>
      <c r="J47" s="77">
        <v>-232.7</v>
      </c>
      <c r="K47" s="76">
        <v>0.99997000000000003</v>
      </c>
      <c r="L47" s="86">
        <v>0.80940000000000001</v>
      </c>
      <c r="M47" s="84">
        <f>L47*$M$19</f>
        <v>6.7479677999999996</v>
      </c>
      <c r="N47" s="84">
        <f>E47/M47</f>
        <v>4.1513238993226977</v>
      </c>
      <c r="O47" s="76">
        <v>0.96699999999999997</v>
      </c>
      <c r="P47" s="76">
        <v>13.55</v>
      </c>
      <c r="Q47" s="10">
        <v>0.24840000000000001</v>
      </c>
      <c r="R47" s="83"/>
      <c r="S47" s="10"/>
      <c r="T47" s="83"/>
      <c r="U47" s="10"/>
      <c r="AC47" s="5">
        <f t="shared" ref="AC47:AR62" si="8">E47*$C47</f>
        <v>0.17765990299623854</v>
      </c>
      <c r="AD47" s="5">
        <f t="shared" si="8"/>
        <v>-1.8856950086630346</v>
      </c>
      <c r="AE47" s="5">
        <f t="shared" si="8"/>
        <v>0</v>
      </c>
      <c r="AF47" s="5">
        <f t="shared" si="8"/>
        <v>-2.1943499959553967</v>
      </c>
      <c r="AG47" s="5">
        <f t="shared" si="8"/>
        <v>3.1266316416358686</v>
      </c>
      <c r="AH47" s="5">
        <f t="shared" si="8"/>
        <v>-1.4757955030601757</v>
      </c>
      <c r="AI47" s="5">
        <f t="shared" si="8"/>
        <v>6.34186174987144E-3</v>
      </c>
      <c r="AJ47" s="5">
        <f t="shared" si="8"/>
        <v>5.1332568980528848E-3</v>
      </c>
      <c r="AK47" s="5">
        <f t="shared" si="8"/>
        <v>4.27959627590669E-2</v>
      </c>
      <c r="AL47" s="5">
        <f t="shared" si="8"/>
        <v>2.6327912085804345E-2</v>
      </c>
      <c r="AM47" s="5">
        <f t="shared" si="8"/>
        <v>6.1327642950545335E-3</v>
      </c>
      <c r="AN47" s="5">
        <f t="shared" si="8"/>
        <v>8.5934804754900659E-2</v>
      </c>
      <c r="AO47" s="5">
        <f t="shared" si="8"/>
        <v>1.5753657196396547E-3</v>
      </c>
      <c r="AP47" s="5">
        <f t="shared" si="8"/>
        <v>0</v>
      </c>
      <c r="AQ47" s="5">
        <f t="shared" si="8"/>
        <v>0</v>
      </c>
      <c r="AR47" s="5">
        <f t="shared" si="8"/>
        <v>0</v>
      </c>
    </row>
    <row r="48" spans="1:44" x14ac:dyDescent="0.25">
      <c r="B48" s="10" t="s">
        <v>179</v>
      </c>
      <c r="C48" s="98">
        <f t="shared" ref="C48:C62" si="9">(C5-AB26)/$N$24</f>
        <v>5.7190606547096023E-3</v>
      </c>
      <c r="D48" s="10" t="s">
        <v>180</v>
      </c>
      <c r="E48" s="75">
        <v>44.01</v>
      </c>
      <c r="F48" s="75">
        <v>-109.32</v>
      </c>
      <c r="G48" s="10"/>
      <c r="H48" s="77">
        <v>-69.77</v>
      </c>
      <c r="I48" s="77">
        <v>1071</v>
      </c>
      <c r="J48" s="77">
        <v>87.87</v>
      </c>
      <c r="K48" s="76">
        <v>0.99429999999999996</v>
      </c>
      <c r="L48" s="86">
        <v>0.81759999999999999</v>
      </c>
      <c r="M48" s="84">
        <f t="shared" ref="M48:M61" si="10">L48*$M$19</f>
        <v>6.8163311999999996</v>
      </c>
      <c r="N48" s="84">
        <f>E48/M48</f>
        <v>6.4565524632957976</v>
      </c>
      <c r="O48" s="76">
        <v>1.52</v>
      </c>
      <c r="P48" s="76">
        <v>8.6229999999999993</v>
      </c>
      <c r="Q48" s="10">
        <v>0.19900000000000001</v>
      </c>
      <c r="R48" s="83"/>
      <c r="S48" s="10"/>
      <c r="T48" s="83"/>
      <c r="U48" s="10"/>
      <c r="AC48" s="5">
        <f t="shared" si="8"/>
        <v>0.2516958594137696</v>
      </c>
      <c r="AD48" s="5">
        <f t="shared" si="8"/>
        <v>-0.62520771077285364</v>
      </c>
      <c r="AE48" s="5">
        <f t="shared" si="8"/>
        <v>0</v>
      </c>
      <c r="AF48" s="5">
        <f t="shared" si="8"/>
        <v>-0.39901886187908892</v>
      </c>
      <c r="AG48" s="5">
        <f t="shared" si="8"/>
        <v>6.1251139611939838</v>
      </c>
      <c r="AH48" s="5">
        <f t="shared" si="8"/>
        <v>0.50253385972933273</v>
      </c>
      <c r="AI48" s="5">
        <f t="shared" si="8"/>
        <v>5.6864620089777575E-3</v>
      </c>
      <c r="AJ48" s="5">
        <f t="shared" si="8"/>
        <v>4.6759039912905708E-3</v>
      </c>
      <c r="AK48" s="5">
        <f t="shared" si="8"/>
        <v>3.8983011575389484E-2</v>
      </c>
      <c r="AL48" s="5">
        <f t="shared" si="8"/>
        <v>3.692541515790336E-2</v>
      </c>
      <c r="AM48" s="5">
        <f t="shared" si="8"/>
        <v>8.6929721951585961E-3</v>
      </c>
      <c r="AN48" s="5">
        <f t="shared" si="8"/>
        <v>4.9315460025560899E-2</v>
      </c>
      <c r="AO48" s="5">
        <f t="shared" si="8"/>
        <v>1.1380930702872109E-3</v>
      </c>
      <c r="AP48" s="5">
        <f t="shared" si="8"/>
        <v>0</v>
      </c>
      <c r="AQ48" s="5">
        <f t="shared" si="8"/>
        <v>0</v>
      </c>
      <c r="AR48" s="5">
        <f t="shared" si="8"/>
        <v>0</v>
      </c>
    </row>
    <row r="49" spans="2:44" x14ac:dyDescent="0.25">
      <c r="B49" s="10" t="s">
        <v>181</v>
      </c>
      <c r="C49" s="98">
        <f t="shared" si="9"/>
        <v>0</v>
      </c>
      <c r="D49" s="10" t="s">
        <v>3</v>
      </c>
      <c r="E49" s="75">
        <v>34.076000000000001</v>
      </c>
      <c r="F49" s="75">
        <v>-76.56</v>
      </c>
      <c r="G49" s="10">
        <v>387.1</v>
      </c>
      <c r="H49" s="77">
        <v>-121.58</v>
      </c>
      <c r="I49" s="77">
        <v>1036</v>
      </c>
      <c r="J49" s="77">
        <v>212.6</v>
      </c>
      <c r="K49" s="76">
        <v>0.99029999999999996</v>
      </c>
      <c r="L49" s="86">
        <v>0.78710000000000002</v>
      </c>
      <c r="M49" s="84">
        <f t="shared" si="10"/>
        <v>6.5620526999999997</v>
      </c>
      <c r="N49" s="84">
        <f>E49/M49</f>
        <v>5.1928872805303747</v>
      </c>
      <c r="O49" s="76">
        <v>1.177</v>
      </c>
      <c r="P49" s="76">
        <v>11.14</v>
      </c>
      <c r="Q49" s="10">
        <v>0.2379</v>
      </c>
      <c r="R49" s="83">
        <v>0.49680000000000002</v>
      </c>
      <c r="S49" s="10">
        <v>637</v>
      </c>
      <c r="T49" s="83"/>
      <c r="U49" s="10"/>
      <c r="AC49" s="5">
        <f t="shared" si="8"/>
        <v>0</v>
      </c>
      <c r="AD49" s="5">
        <f t="shared" si="8"/>
        <v>0</v>
      </c>
      <c r="AE49" s="5">
        <f t="shared" si="8"/>
        <v>0</v>
      </c>
      <c r="AF49" s="5">
        <f t="shared" si="8"/>
        <v>0</v>
      </c>
      <c r="AG49" s="5">
        <f t="shared" si="8"/>
        <v>0</v>
      </c>
      <c r="AH49" s="5">
        <f t="shared" si="8"/>
        <v>0</v>
      </c>
      <c r="AI49" s="5">
        <f t="shared" si="8"/>
        <v>0</v>
      </c>
      <c r="AJ49" s="5">
        <f t="shared" si="8"/>
        <v>0</v>
      </c>
      <c r="AK49" s="5">
        <f t="shared" si="8"/>
        <v>0</v>
      </c>
      <c r="AL49" s="5">
        <f t="shared" si="8"/>
        <v>0</v>
      </c>
      <c r="AM49" s="5">
        <f t="shared" si="8"/>
        <v>0</v>
      </c>
      <c r="AN49" s="5">
        <f t="shared" si="8"/>
        <v>0</v>
      </c>
      <c r="AO49" s="5">
        <f t="shared" si="8"/>
        <v>0</v>
      </c>
      <c r="AP49" s="5">
        <f t="shared" si="8"/>
        <v>0</v>
      </c>
      <c r="AQ49" s="5">
        <f t="shared" si="8"/>
        <v>0</v>
      </c>
      <c r="AR49" s="5">
        <f t="shared" si="8"/>
        <v>0</v>
      </c>
    </row>
    <row r="50" spans="2:44" x14ac:dyDescent="0.25">
      <c r="B50" s="10" t="s">
        <v>182</v>
      </c>
      <c r="C50" s="98">
        <f t="shared" si="9"/>
        <v>0.97621714435381279</v>
      </c>
      <c r="D50" s="10" t="s">
        <v>183</v>
      </c>
      <c r="E50" s="75">
        <v>16.042999999999999</v>
      </c>
      <c r="F50" s="75">
        <v>-258.7</v>
      </c>
      <c r="G50" s="10">
        <v>5000</v>
      </c>
      <c r="H50" s="77">
        <v>-296.5</v>
      </c>
      <c r="I50" s="77">
        <v>667.8</v>
      </c>
      <c r="J50" s="77">
        <v>-116.68</v>
      </c>
      <c r="K50" s="76">
        <v>0.99809999999999999</v>
      </c>
      <c r="L50" s="86">
        <v>0.3</v>
      </c>
      <c r="M50" s="84">
        <f t="shared" si="10"/>
        <v>2.5010999999999997</v>
      </c>
      <c r="N50" s="84">
        <f>E50/M50</f>
        <v>6.4143776738235179</v>
      </c>
      <c r="O50" s="76">
        <v>0.55389999999999995</v>
      </c>
      <c r="P50" s="76">
        <f>13.102/O50</f>
        <v>23.654089185773607</v>
      </c>
      <c r="Q50" s="10">
        <v>0.52659999999999996</v>
      </c>
      <c r="R50" s="83"/>
      <c r="S50" s="10">
        <v>1009.7</v>
      </c>
      <c r="T50" s="83"/>
      <c r="U50" s="10"/>
      <c r="AC50" s="5">
        <f t="shared" si="8"/>
        <v>15.661451646868217</v>
      </c>
      <c r="AD50" s="5">
        <f t="shared" si="8"/>
        <v>-252.54737524433136</v>
      </c>
      <c r="AE50" s="5">
        <f t="shared" si="8"/>
        <v>4881.0857217690636</v>
      </c>
      <c r="AF50" s="5">
        <f t="shared" si="8"/>
        <v>-289.4483833009055</v>
      </c>
      <c r="AG50" s="5">
        <f t="shared" si="8"/>
        <v>651.91780899947616</v>
      </c>
      <c r="AH50" s="5">
        <f t="shared" si="8"/>
        <v>-113.90501640320288</v>
      </c>
      <c r="AI50" s="5">
        <f t="shared" si="8"/>
        <v>0.97436233177954057</v>
      </c>
      <c r="AJ50" s="5">
        <f t="shared" si="8"/>
        <v>0.29286514330614383</v>
      </c>
      <c r="AK50" s="5">
        <f t="shared" si="8"/>
        <v>2.4416166997433209</v>
      </c>
      <c r="AL50" s="5">
        <f t="shared" si="8"/>
        <v>6.2618254555468473</v>
      </c>
      <c r="AM50" s="5">
        <f t="shared" si="8"/>
        <v>0.54072667625757687</v>
      </c>
      <c r="AN50" s="5">
        <f t="shared" si="8"/>
        <v>23.091527397226315</v>
      </c>
      <c r="AO50" s="5">
        <f t="shared" si="8"/>
        <v>0.51407594821671776</v>
      </c>
      <c r="AP50" s="5">
        <f t="shared" si="8"/>
        <v>0</v>
      </c>
      <c r="AQ50" s="5">
        <f t="shared" si="8"/>
        <v>985.68645065404485</v>
      </c>
      <c r="AR50" s="5">
        <f t="shared" si="8"/>
        <v>0</v>
      </c>
    </row>
    <row r="51" spans="2:44" x14ac:dyDescent="0.25">
      <c r="B51" s="10" t="s">
        <v>184</v>
      </c>
      <c r="C51" s="98">
        <f t="shared" si="9"/>
        <v>9.9434304275357408E-3</v>
      </c>
      <c r="D51" s="10" t="s">
        <v>185</v>
      </c>
      <c r="E51" s="75">
        <v>30.7</v>
      </c>
      <c r="F51" s="75">
        <v>-127.44</v>
      </c>
      <c r="G51" s="10">
        <v>800</v>
      </c>
      <c r="H51" s="77">
        <v>-297.04000000000002</v>
      </c>
      <c r="I51" s="77">
        <v>707.8</v>
      </c>
      <c r="J51" s="77">
        <v>90.1</v>
      </c>
      <c r="K51" s="76">
        <v>0.99609999999999999</v>
      </c>
      <c r="L51" s="86">
        <v>0.35630000000000001</v>
      </c>
      <c r="M51" s="84">
        <f t="shared" si="10"/>
        <v>2.9704731</v>
      </c>
      <c r="N51" s="84">
        <f t="shared" ref="N51:N62" si="11">E51/M51</f>
        <v>10.335054035668595</v>
      </c>
      <c r="O51" s="76">
        <v>1.0382</v>
      </c>
      <c r="P51" s="76">
        <f t="shared" ref="P51:P62" si="12">13.102/O51</f>
        <v>12.619919090733962</v>
      </c>
      <c r="Q51" s="10">
        <v>0.40799999999999997</v>
      </c>
      <c r="R51" s="83">
        <v>0.92559999999999998</v>
      </c>
      <c r="S51" s="10">
        <v>1768</v>
      </c>
      <c r="T51" s="83">
        <v>65889</v>
      </c>
      <c r="U51" s="10">
        <f>N51*C51/0.3795</f>
        <v>0.27079286105004785</v>
      </c>
      <c r="AC51" s="5">
        <f t="shared" si="8"/>
        <v>0.30526331412534724</v>
      </c>
      <c r="AD51" s="5">
        <f t="shared" si="8"/>
        <v>-1.2671907736851549</v>
      </c>
      <c r="AE51" s="5">
        <f t="shared" si="8"/>
        <v>7.9547443420285928</v>
      </c>
      <c r="AF51" s="5">
        <f t="shared" si="8"/>
        <v>-2.9535965741952168</v>
      </c>
      <c r="AG51" s="5">
        <f t="shared" si="8"/>
        <v>7.0379600566097968</v>
      </c>
      <c r="AH51" s="5">
        <f t="shared" si="8"/>
        <v>0.8959030815209702</v>
      </c>
      <c r="AI51" s="5">
        <f t="shared" si="8"/>
        <v>9.9046510488683508E-3</v>
      </c>
      <c r="AJ51" s="5">
        <f t="shared" si="8"/>
        <v>3.5428442613309845E-3</v>
      </c>
      <c r="AK51" s="5">
        <f t="shared" si="8"/>
        <v>2.9536692606716416E-2</v>
      </c>
      <c r="AL51" s="5">
        <f t="shared" si="8"/>
        <v>0.10276589076849316</v>
      </c>
      <c r="AM51" s="5">
        <f t="shared" si="8"/>
        <v>1.0323269469867606E-2</v>
      </c>
      <c r="AN51" s="5">
        <f t="shared" si="8"/>
        <v>0.12548528747984325</v>
      </c>
      <c r="AO51" s="5">
        <f t="shared" si="8"/>
        <v>4.0569196144345822E-3</v>
      </c>
      <c r="AP51" s="5">
        <f t="shared" si="8"/>
        <v>9.2036392037270816E-3</v>
      </c>
      <c r="AQ51" s="5">
        <f t="shared" si="8"/>
        <v>17.579984995883191</v>
      </c>
      <c r="AR51" s="5">
        <f t="shared" si="8"/>
        <v>655.16268743990247</v>
      </c>
    </row>
    <row r="52" spans="2:44" x14ac:dyDescent="0.25">
      <c r="B52" s="10" t="s">
        <v>186</v>
      </c>
      <c r="C52" s="98">
        <f t="shared" si="9"/>
        <v>1.4258680041194394E-3</v>
      </c>
      <c r="D52" s="10" t="s">
        <v>187</v>
      </c>
      <c r="E52" s="75">
        <v>44.097000000000001</v>
      </c>
      <c r="F52" s="75">
        <v>-43.73</v>
      </c>
      <c r="G52" s="10">
        <v>188</v>
      </c>
      <c r="H52" s="77">
        <v>-305.82</v>
      </c>
      <c r="I52" s="77">
        <v>616.29999999999995</v>
      </c>
      <c r="J52" s="77">
        <v>206.1</v>
      </c>
      <c r="K52" s="76">
        <v>0.98080000000000001</v>
      </c>
      <c r="L52" s="86">
        <v>0.50749999999999995</v>
      </c>
      <c r="M52" s="84">
        <f t="shared" si="10"/>
        <v>4.2310274999999997</v>
      </c>
      <c r="N52" s="84">
        <f t="shared" si="11"/>
        <v>10.422291039233379</v>
      </c>
      <c r="O52" s="76">
        <v>1.5225</v>
      </c>
      <c r="P52" s="76">
        <f t="shared" si="12"/>
        <v>8.6055829228243024</v>
      </c>
      <c r="Q52" s="10">
        <v>0.38869999999999999</v>
      </c>
      <c r="R52" s="83">
        <v>0.59019999999999995</v>
      </c>
      <c r="S52" s="10">
        <v>2517</v>
      </c>
      <c r="T52" s="83">
        <v>90962</v>
      </c>
      <c r="U52" s="10">
        <f t="shared" ref="U52:U61" si="13">N52*C52/0.3795</f>
        <v>3.9158923115846157E-2</v>
      </c>
      <c r="AC52" s="5">
        <f t="shared" si="8"/>
        <v>6.2876501377654923E-2</v>
      </c>
      <c r="AD52" s="5">
        <f t="shared" si="8"/>
        <v>-6.2353207820143079E-2</v>
      </c>
      <c r="AE52" s="5">
        <f t="shared" si="8"/>
        <v>0.26806318477445462</v>
      </c>
      <c r="AF52" s="5">
        <f t="shared" si="8"/>
        <v>-0.43605895301980696</v>
      </c>
      <c r="AG52" s="5">
        <f t="shared" si="8"/>
        <v>0.87876245093881045</v>
      </c>
      <c r="AH52" s="5">
        <f t="shared" si="8"/>
        <v>0.29387139564901649</v>
      </c>
      <c r="AI52" s="5">
        <f t="shared" si="8"/>
        <v>1.3984913384403462E-3</v>
      </c>
      <c r="AJ52" s="5">
        <f t="shared" si="8"/>
        <v>7.2362801209061543E-4</v>
      </c>
      <c r="AK52" s="5">
        <f t="shared" si="8"/>
        <v>6.0328867367994612E-3</v>
      </c>
      <c r="AL52" s="5">
        <f t="shared" si="8"/>
        <v>1.4860811322463616E-2</v>
      </c>
      <c r="AM52" s="5">
        <f t="shared" si="8"/>
        <v>2.1708840362718463E-3</v>
      </c>
      <c r="AN52" s="5">
        <f t="shared" si="8"/>
        <v>1.227042534645182E-2</v>
      </c>
      <c r="AO52" s="5">
        <f t="shared" si="8"/>
        <v>5.5423489320122611E-4</v>
      </c>
      <c r="AP52" s="5">
        <f t="shared" si="8"/>
        <v>8.4154729603129312E-4</v>
      </c>
      <c r="AQ52" s="5">
        <f t="shared" si="8"/>
        <v>3.5889097663686291</v>
      </c>
      <c r="AR52" s="5">
        <f t="shared" si="8"/>
        <v>129.69980539071244</v>
      </c>
    </row>
    <row r="53" spans="2:44" x14ac:dyDescent="0.25">
      <c r="B53" s="10" t="s">
        <v>188</v>
      </c>
      <c r="C53" s="98">
        <f t="shared" si="9"/>
        <v>6.1650813266012945E-5</v>
      </c>
      <c r="D53" s="10" t="s">
        <v>189</v>
      </c>
      <c r="E53" s="75">
        <v>58.124000000000002</v>
      </c>
      <c r="F53" s="75">
        <v>10.74</v>
      </c>
      <c r="G53" s="10">
        <v>72.39</v>
      </c>
      <c r="H53" s="77">
        <v>-255.28</v>
      </c>
      <c r="I53" s="77">
        <v>529.1</v>
      </c>
      <c r="J53" s="77">
        <v>274.95999999999998</v>
      </c>
      <c r="K53" s="76">
        <v>0.96609999999999996</v>
      </c>
      <c r="L53" s="86">
        <v>0.56299999999999994</v>
      </c>
      <c r="M53" s="84">
        <f t="shared" si="10"/>
        <v>4.6937309999999997</v>
      </c>
      <c r="N53" s="84">
        <f t="shared" si="11"/>
        <v>12.383325759401211</v>
      </c>
      <c r="O53" s="76">
        <v>2.0068000000000001</v>
      </c>
      <c r="P53" s="76">
        <f t="shared" si="12"/>
        <v>6.5288020729519634</v>
      </c>
      <c r="Q53" s="10">
        <v>0.38669999999999999</v>
      </c>
      <c r="R53" s="83">
        <v>0.56599999999999995</v>
      </c>
      <c r="S53" s="10">
        <v>3252</v>
      </c>
      <c r="T53" s="83">
        <v>98968</v>
      </c>
      <c r="U53" s="10">
        <f t="shared" si="13"/>
        <v>2.0117051488934175E-3</v>
      </c>
      <c r="AC53" s="5">
        <f t="shared" si="8"/>
        <v>3.5833918702737368E-3</v>
      </c>
      <c r="AD53" s="5">
        <f t="shared" si="8"/>
        <v>6.6212973447697904E-4</v>
      </c>
      <c r="AE53" s="5">
        <f t="shared" si="8"/>
        <v>4.4629023723266768E-3</v>
      </c>
      <c r="AF53" s="5">
        <f t="shared" si="8"/>
        <v>-1.5738219610547784E-2</v>
      </c>
      <c r="AG53" s="5">
        <f t="shared" si="8"/>
        <v>3.261944529904745E-2</v>
      </c>
      <c r="AH53" s="5">
        <f t="shared" si="8"/>
        <v>1.6951507615622918E-2</v>
      </c>
      <c r="AI53" s="5">
        <f t="shared" si="8"/>
        <v>5.9560850696295104E-5</v>
      </c>
      <c r="AJ53" s="5">
        <f t="shared" si="8"/>
        <v>3.4709407868765288E-5</v>
      </c>
      <c r="AK53" s="5">
        <f t="shared" si="8"/>
        <v>2.8937233340189619E-4</v>
      </c>
      <c r="AL53" s="5">
        <f t="shared" si="8"/>
        <v>7.6344210400505199E-4</v>
      </c>
      <c r="AM53" s="5">
        <f t="shared" si="8"/>
        <v>1.2372085206223478E-4</v>
      </c>
      <c r="AN53" s="5">
        <f t="shared" si="8"/>
        <v>4.0250595745031971E-4</v>
      </c>
      <c r="AO53" s="5">
        <f t="shared" si="8"/>
        <v>2.3840369489967206E-5</v>
      </c>
      <c r="AP53" s="5">
        <f t="shared" si="8"/>
        <v>3.4894360308563321E-5</v>
      </c>
      <c r="AQ53" s="5">
        <f t="shared" si="8"/>
        <v>0.20048844474107411</v>
      </c>
      <c r="AR53" s="5">
        <f t="shared" si="8"/>
        <v>6.1014576873107691</v>
      </c>
    </row>
    <row r="54" spans="2:44" x14ac:dyDescent="0.25">
      <c r="B54" s="10" t="s">
        <v>190</v>
      </c>
      <c r="C54" s="98">
        <f t="shared" si="9"/>
        <v>8.9160092908362434E-5</v>
      </c>
      <c r="D54" s="10" t="s">
        <v>189</v>
      </c>
      <c r="E54" s="75">
        <v>58.124000000000002</v>
      </c>
      <c r="F54" s="75">
        <v>31.12</v>
      </c>
      <c r="G54" s="10">
        <v>51.54</v>
      </c>
      <c r="H54" s="77">
        <v>-217.05</v>
      </c>
      <c r="I54" s="77">
        <v>550.70000000000005</v>
      </c>
      <c r="J54" s="77">
        <v>305.62</v>
      </c>
      <c r="K54" s="76">
        <v>0.93669999999999998</v>
      </c>
      <c r="L54" s="86">
        <v>0.58430000000000004</v>
      </c>
      <c r="M54" s="84">
        <f t="shared" si="10"/>
        <v>4.8713091000000004</v>
      </c>
      <c r="N54" s="84">
        <f t="shared" si="11"/>
        <v>11.931905532334213</v>
      </c>
      <c r="O54" s="76">
        <v>2.0068000000000001</v>
      </c>
      <c r="P54" s="76">
        <f t="shared" si="12"/>
        <v>6.5288020729519634</v>
      </c>
      <c r="Q54" s="10">
        <v>0.39510000000000001</v>
      </c>
      <c r="R54" s="83">
        <v>0.56599999999999995</v>
      </c>
      <c r="S54" s="10">
        <v>3262</v>
      </c>
      <c r="T54" s="83">
        <v>102918</v>
      </c>
      <c r="U54" s="10">
        <f t="shared" si="13"/>
        <v>2.803293296012443E-3</v>
      </c>
      <c r="AC54" s="5">
        <f t="shared" si="8"/>
        <v>5.1823412402056583E-3</v>
      </c>
      <c r="AD54" s="5">
        <f t="shared" si="8"/>
        <v>2.774662091308239E-3</v>
      </c>
      <c r="AE54" s="5">
        <f t="shared" si="8"/>
        <v>4.5953111884969996E-3</v>
      </c>
      <c r="AF54" s="5">
        <f t="shared" si="8"/>
        <v>-1.9352198165760066E-2</v>
      </c>
      <c r="AG54" s="5">
        <f t="shared" si="8"/>
        <v>4.9100463164635198E-2</v>
      </c>
      <c r="AH54" s="5">
        <f t="shared" si="8"/>
        <v>2.7249107594653727E-2</v>
      </c>
      <c r="AI54" s="5">
        <f t="shared" si="8"/>
        <v>8.351625902726309E-5</v>
      </c>
      <c r="AJ54" s="5">
        <f t="shared" si="8"/>
        <v>5.2096242286356177E-5</v>
      </c>
      <c r="AK54" s="5">
        <f t="shared" si="8"/>
        <v>4.3432637194135143E-4</v>
      </c>
      <c r="AL54" s="5">
        <f t="shared" si="8"/>
        <v>1.0638498058367222E-3</v>
      </c>
      <c r="AM54" s="5">
        <f t="shared" si="8"/>
        <v>1.7892647444850174E-4</v>
      </c>
      <c r="AN54" s="5">
        <f t="shared" si="8"/>
        <v>5.8210859940470633E-4</v>
      </c>
      <c r="AO54" s="5">
        <f t="shared" si="8"/>
        <v>3.5227152708094E-5</v>
      </c>
      <c r="AP54" s="5">
        <f t="shared" si="8"/>
        <v>5.0464612586133136E-5</v>
      </c>
      <c r="AQ54" s="5">
        <f t="shared" si="8"/>
        <v>0.29084022306707824</v>
      </c>
      <c r="AR54" s="5">
        <f t="shared" si="8"/>
        <v>9.1761784419428452</v>
      </c>
    </row>
    <row r="55" spans="2:44" x14ac:dyDescent="0.25">
      <c r="B55" s="10" t="s">
        <v>191</v>
      </c>
      <c r="C55" s="98">
        <f t="shared" si="9"/>
        <v>0</v>
      </c>
      <c r="D55" s="10" t="s">
        <v>192</v>
      </c>
      <c r="E55" s="75">
        <v>72.150999999999996</v>
      </c>
      <c r="F55" s="75">
        <v>82.11</v>
      </c>
      <c r="G55" s="10">
        <v>20.443999999999999</v>
      </c>
      <c r="H55" s="77">
        <v>-255.82</v>
      </c>
      <c r="I55" s="77">
        <v>490.4</v>
      </c>
      <c r="J55" s="77">
        <v>369.03</v>
      </c>
      <c r="K55" s="76">
        <v>0.94799999999999995</v>
      </c>
      <c r="L55" s="86">
        <v>0.62439999999999996</v>
      </c>
      <c r="M55" s="84">
        <f t="shared" si="10"/>
        <v>5.2056227999999996</v>
      </c>
      <c r="N55" s="84">
        <f t="shared" si="11"/>
        <v>13.860205161234502</v>
      </c>
      <c r="O55" s="76">
        <v>2.4910999999999999</v>
      </c>
      <c r="P55" s="76">
        <f t="shared" si="12"/>
        <v>5.2595239051021645</v>
      </c>
      <c r="Q55" s="10">
        <v>0.38290000000000002</v>
      </c>
      <c r="R55" s="83">
        <v>0.5353</v>
      </c>
      <c r="S55" s="10">
        <v>4000</v>
      </c>
      <c r="T55" s="83">
        <v>108722</v>
      </c>
      <c r="U55" s="10">
        <f t="shared" si="13"/>
        <v>0</v>
      </c>
      <c r="AC55" s="5">
        <f t="shared" si="8"/>
        <v>0</v>
      </c>
      <c r="AD55" s="5">
        <f t="shared" si="8"/>
        <v>0</v>
      </c>
      <c r="AE55" s="5">
        <f t="shared" si="8"/>
        <v>0</v>
      </c>
      <c r="AF55" s="5">
        <f t="shared" si="8"/>
        <v>0</v>
      </c>
      <c r="AG55" s="5">
        <f t="shared" si="8"/>
        <v>0</v>
      </c>
      <c r="AH55" s="5">
        <f t="shared" si="8"/>
        <v>0</v>
      </c>
      <c r="AI55" s="5">
        <f t="shared" si="8"/>
        <v>0</v>
      </c>
      <c r="AJ55" s="5">
        <f t="shared" si="8"/>
        <v>0</v>
      </c>
      <c r="AK55" s="5">
        <f t="shared" si="8"/>
        <v>0</v>
      </c>
      <c r="AL55" s="5">
        <f t="shared" si="8"/>
        <v>0</v>
      </c>
      <c r="AM55" s="5">
        <f t="shared" si="8"/>
        <v>0</v>
      </c>
      <c r="AN55" s="5">
        <f t="shared" si="8"/>
        <v>0</v>
      </c>
      <c r="AO55" s="5">
        <f t="shared" si="8"/>
        <v>0</v>
      </c>
      <c r="AP55" s="5">
        <f t="shared" si="8"/>
        <v>0</v>
      </c>
      <c r="AQ55" s="5">
        <f t="shared" si="8"/>
        <v>0</v>
      </c>
      <c r="AR55" s="5">
        <f t="shared" si="8"/>
        <v>0</v>
      </c>
    </row>
    <row r="56" spans="2:44" x14ac:dyDescent="0.25">
      <c r="B56" s="10" t="s">
        <v>193</v>
      </c>
      <c r="C56" s="98">
        <f t="shared" si="9"/>
        <v>0</v>
      </c>
      <c r="D56" s="10" t="s">
        <v>192</v>
      </c>
      <c r="E56" s="75">
        <v>72.150999999999996</v>
      </c>
      <c r="F56" s="75">
        <v>96.91</v>
      </c>
      <c r="G56" s="10">
        <v>15.574999999999999</v>
      </c>
      <c r="H56" s="77">
        <v>-201.51</v>
      </c>
      <c r="I56" s="77">
        <v>488.6</v>
      </c>
      <c r="J56" s="77">
        <v>385.6</v>
      </c>
      <c r="K56" s="76">
        <v>0.94199999999999995</v>
      </c>
      <c r="L56" s="86">
        <v>0.63109999999999999</v>
      </c>
      <c r="M56" s="84">
        <f t="shared" si="10"/>
        <v>5.2614806999999999</v>
      </c>
      <c r="N56" s="84">
        <f t="shared" si="11"/>
        <v>13.713059899659044</v>
      </c>
      <c r="O56" s="76">
        <v>2.4910999999999999</v>
      </c>
      <c r="P56" s="76">
        <f t="shared" si="12"/>
        <v>5.2595239051021645</v>
      </c>
      <c r="Q56" s="10">
        <v>0.39900000000000002</v>
      </c>
      <c r="R56" s="83">
        <v>0.54800000000000004</v>
      </c>
      <c r="S56" s="10">
        <v>4008</v>
      </c>
      <c r="T56" s="83">
        <v>110071</v>
      </c>
      <c r="U56" s="10">
        <f t="shared" si="13"/>
        <v>0</v>
      </c>
      <c r="AC56" s="5">
        <f t="shared" si="8"/>
        <v>0</v>
      </c>
      <c r="AD56" s="5">
        <f t="shared" si="8"/>
        <v>0</v>
      </c>
      <c r="AE56" s="5">
        <f t="shared" si="8"/>
        <v>0</v>
      </c>
      <c r="AF56" s="5">
        <f t="shared" si="8"/>
        <v>0</v>
      </c>
      <c r="AG56" s="5">
        <f t="shared" si="8"/>
        <v>0</v>
      </c>
      <c r="AH56" s="5">
        <f t="shared" si="8"/>
        <v>0</v>
      </c>
      <c r="AI56" s="5">
        <f t="shared" si="8"/>
        <v>0</v>
      </c>
      <c r="AJ56" s="5">
        <f t="shared" si="8"/>
        <v>0</v>
      </c>
      <c r="AK56" s="5">
        <f t="shared" si="8"/>
        <v>0</v>
      </c>
      <c r="AL56" s="5">
        <f t="shared" si="8"/>
        <v>0</v>
      </c>
      <c r="AM56" s="5">
        <f t="shared" si="8"/>
        <v>0</v>
      </c>
      <c r="AN56" s="5">
        <f t="shared" si="8"/>
        <v>0</v>
      </c>
      <c r="AO56" s="5">
        <f t="shared" si="8"/>
        <v>0</v>
      </c>
      <c r="AP56" s="5">
        <f t="shared" si="8"/>
        <v>0</v>
      </c>
      <c r="AQ56" s="5">
        <f t="shared" si="8"/>
        <v>0</v>
      </c>
      <c r="AR56" s="5">
        <f t="shared" si="8"/>
        <v>0</v>
      </c>
    </row>
    <row r="57" spans="2:44" x14ac:dyDescent="0.25">
      <c r="B57" s="10" t="s">
        <v>194</v>
      </c>
      <c r="C57" s="98">
        <f t="shared" si="9"/>
        <v>0</v>
      </c>
      <c r="D57" s="10" t="s">
        <v>195</v>
      </c>
      <c r="E57" s="75">
        <v>86.177999999999997</v>
      </c>
      <c r="F57" s="75">
        <v>155.72999999999999</v>
      </c>
      <c r="G57" s="10">
        <v>4.96</v>
      </c>
      <c r="H57" s="77">
        <v>-139.58000000000001</v>
      </c>
      <c r="I57" s="77">
        <v>710.4</v>
      </c>
      <c r="J57" s="77">
        <v>453.6</v>
      </c>
      <c r="K57" s="76">
        <v>0.91</v>
      </c>
      <c r="L57" s="86">
        <v>0.66400000000000003</v>
      </c>
      <c r="M57" s="84">
        <f t="shared" si="10"/>
        <v>5.535768</v>
      </c>
      <c r="N57" s="84">
        <f t="shared" si="11"/>
        <v>15.567487654829465</v>
      </c>
      <c r="O57" s="76">
        <v>2.9752999999999998</v>
      </c>
      <c r="P57" s="76">
        <f t="shared" si="12"/>
        <v>4.4035895539945553</v>
      </c>
      <c r="Q57" s="10">
        <v>0.38569999999999999</v>
      </c>
      <c r="R57" s="83">
        <v>0.53320000000000001</v>
      </c>
      <c r="S57" s="10">
        <v>4756</v>
      </c>
      <c r="T57" s="83">
        <v>115055</v>
      </c>
      <c r="U57" s="10">
        <f t="shared" si="13"/>
        <v>0</v>
      </c>
      <c r="AC57" s="5">
        <f t="shared" si="8"/>
        <v>0</v>
      </c>
      <c r="AD57" s="5">
        <f t="shared" si="8"/>
        <v>0</v>
      </c>
      <c r="AE57" s="5">
        <f t="shared" si="8"/>
        <v>0</v>
      </c>
      <c r="AF57" s="5">
        <f t="shared" si="8"/>
        <v>0</v>
      </c>
      <c r="AG57" s="5">
        <f t="shared" si="8"/>
        <v>0</v>
      </c>
      <c r="AH57" s="5">
        <f t="shared" si="8"/>
        <v>0</v>
      </c>
      <c r="AI57" s="5">
        <f t="shared" si="8"/>
        <v>0</v>
      </c>
      <c r="AJ57" s="5">
        <f t="shared" si="8"/>
        <v>0</v>
      </c>
      <c r="AK57" s="5">
        <f t="shared" si="8"/>
        <v>0</v>
      </c>
      <c r="AL57" s="5">
        <f t="shared" si="8"/>
        <v>0</v>
      </c>
      <c r="AM57" s="5">
        <f t="shared" si="8"/>
        <v>0</v>
      </c>
      <c r="AN57" s="5">
        <f t="shared" si="8"/>
        <v>0</v>
      </c>
      <c r="AO57" s="5">
        <f t="shared" si="8"/>
        <v>0</v>
      </c>
      <c r="AP57" s="5">
        <f t="shared" si="8"/>
        <v>0</v>
      </c>
      <c r="AQ57" s="5">
        <f t="shared" si="8"/>
        <v>0</v>
      </c>
      <c r="AR57" s="5">
        <f t="shared" si="8"/>
        <v>0</v>
      </c>
    </row>
    <row r="58" spans="2:44" x14ac:dyDescent="0.25">
      <c r="B58" s="10" t="s">
        <v>196</v>
      </c>
      <c r="C58" s="98">
        <f t="shared" si="9"/>
        <v>0</v>
      </c>
      <c r="D58" s="10" t="s">
        <v>197</v>
      </c>
      <c r="E58" s="75">
        <v>78.114000000000004</v>
      </c>
      <c r="F58" s="75">
        <v>176.16</v>
      </c>
      <c r="G58" s="10">
        <v>3.2250000000000001</v>
      </c>
      <c r="H58" s="77">
        <v>41.96</v>
      </c>
      <c r="I58" s="77">
        <v>710.4</v>
      </c>
      <c r="J58" s="77">
        <v>552.22</v>
      </c>
      <c r="K58" s="76">
        <v>0.92900000000000005</v>
      </c>
      <c r="L58" s="86">
        <v>0.88449999999999995</v>
      </c>
      <c r="M58" s="84">
        <f t="shared" si="10"/>
        <v>7.3740764999999993</v>
      </c>
      <c r="N58" s="84">
        <f t="shared" si="11"/>
        <v>10.593055279532292</v>
      </c>
      <c r="O58" s="76">
        <v>2.6968999999999999</v>
      </c>
      <c r="P58" s="76">
        <f t="shared" si="12"/>
        <v>4.8581704920464244</v>
      </c>
      <c r="Q58" s="10">
        <v>0.2422</v>
      </c>
      <c r="R58" s="83">
        <v>0.4098</v>
      </c>
      <c r="S58" s="10">
        <v>3741</v>
      </c>
      <c r="T58" s="83">
        <v>132651</v>
      </c>
      <c r="U58" s="10">
        <f t="shared" si="13"/>
        <v>0</v>
      </c>
      <c r="AC58" s="5">
        <f t="shared" si="8"/>
        <v>0</v>
      </c>
      <c r="AD58" s="5">
        <f t="shared" si="8"/>
        <v>0</v>
      </c>
      <c r="AE58" s="5">
        <f t="shared" si="8"/>
        <v>0</v>
      </c>
      <c r="AF58" s="5">
        <f t="shared" si="8"/>
        <v>0</v>
      </c>
      <c r="AG58" s="5">
        <f t="shared" si="8"/>
        <v>0</v>
      </c>
      <c r="AH58" s="5">
        <f t="shared" si="8"/>
        <v>0</v>
      </c>
      <c r="AI58" s="5">
        <f t="shared" si="8"/>
        <v>0</v>
      </c>
      <c r="AJ58" s="5">
        <f t="shared" si="8"/>
        <v>0</v>
      </c>
      <c r="AK58" s="5">
        <f t="shared" si="8"/>
        <v>0</v>
      </c>
      <c r="AL58" s="5">
        <f t="shared" si="8"/>
        <v>0</v>
      </c>
      <c r="AM58" s="5">
        <f t="shared" si="8"/>
        <v>0</v>
      </c>
      <c r="AN58" s="5">
        <f t="shared" si="8"/>
        <v>0</v>
      </c>
      <c r="AO58" s="5">
        <f t="shared" si="8"/>
        <v>0</v>
      </c>
      <c r="AP58" s="5">
        <f t="shared" si="8"/>
        <v>0</v>
      </c>
      <c r="AQ58" s="5">
        <f t="shared" si="8"/>
        <v>0</v>
      </c>
      <c r="AR58" s="5">
        <f t="shared" si="8"/>
        <v>0</v>
      </c>
    </row>
    <row r="59" spans="2:44" x14ac:dyDescent="0.25">
      <c r="B59" s="10" t="s">
        <v>198</v>
      </c>
      <c r="C59" s="98">
        <f t="shared" si="9"/>
        <v>0</v>
      </c>
      <c r="D59" s="10" t="s">
        <v>199</v>
      </c>
      <c r="E59" s="75">
        <v>92.141000000000005</v>
      </c>
      <c r="F59" s="75">
        <v>231.13</v>
      </c>
      <c r="G59" s="10">
        <v>1.0029999999999999</v>
      </c>
      <c r="H59" s="77">
        <v>-138.97999999999999</v>
      </c>
      <c r="I59" s="77">
        <v>595.5</v>
      </c>
      <c r="J59" s="77">
        <v>605.57000000000005</v>
      </c>
      <c r="K59" s="76">
        <v>0.90300000000000002</v>
      </c>
      <c r="L59" s="86">
        <v>0.87190000000000001</v>
      </c>
      <c r="M59" s="84">
        <f t="shared" si="10"/>
        <v>7.2690302999999998</v>
      </c>
      <c r="N59" s="84">
        <f t="shared" si="11"/>
        <v>12.675831052733404</v>
      </c>
      <c r="O59" s="76">
        <v>3.1812</v>
      </c>
      <c r="P59" s="76">
        <f t="shared" si="12"/>
        <v>4.118571608198164</v>
      </c>
      <c r="Q59" s="10">
        <v>0.25979999999999998</v>
      </c>
      <c r="R59" s="83">
        <v>0.40089999999999998</v>
      </c>
      <c r="S59" s="10">
        <v>4475</v>
      </c>
      <c r="T59" s="83">
        <v>132659</v>
      </c>
      <c r="U59" s="10">
        <f t="shared" si="13"/>
        <v>0</v>
      </c>
      <c r="AC59" s="5">
        <f t="shared" si="8"/>
        <v>0</v>
      </c>
      <c r="AD59" s="5">
        <f t="shared" si="8"/>
        <v>0</v>
      </c>
      <c r="AE59" s="5">
        <f t="shared" si="8"/>
        <v>0</v>
      </c>
      <c r="AF59" s="5">
        <f t="shared" si="8"/>
        <v>0</v>
      </c>
      <c r="AG59" s="5">
        <f t="shared" si="8"/>
        <v>0</v>
      </c>
      <c r="AH59" s="5">
        <f t="shared" si="8"/>
        <v>0</v>
      </c>
      <c r="AI59" s="5">
        <f t="shared" si="8"/>
        <v>0</v>
      </c>
      <c r="AJ59" s="5">
        <f t="shared" si="8"/>
        <v>0</v>
      </c>
      <c r="AK59" s="5">
        <f t="shared" si="8"/>
        <v>0</v>
      </c>
      <c r="AL59" s="5">
        <f t="shared" si="8"/>
        <v>0</v>
      </c>
      <c r="AM59" s="5">
        <f t="shared" si="8"/>
        <v>0</v>
      </c>
      <c r="AN59" s="5">
        <f t="shared" si="8"/>
        <v>0</v>
      </c>
      <c r="AO59" s="5">
        <f t="shared" si="8"/>
        <v>0</v>
      </c>
      <c r="AP59" s="5">
        <f t="shared" si="8"/>
        <v>0</v>
      </c>
      <c r="AQ59" s="5">
        <f t="shared" si="8"/>
        <v>0</v>
      </c>
      <c r="AR59" s="5">
        <f t="shared" si="8"/>
        <v>0</v>
      </c>
    </row>
    <row r="60" spans="2:44" x14ac:dyDescent="0.25">
      <c r="B60" s="10" t="s">
        <v>200</v>
      </c>
      <c r="C60" s="98">
        <f t="shared" si="9"/>
        <v>0</v>
      </c>
      <c r="D60" s="10" t="s">
        <v>201</v>
      </c>
      <c r="E60" s="75">
        <v>106.16800000000001</v>
      </c>
      <c r="F60" s="75">
        <v>277.16000000000003</v>
      </c>
      <c r="G60" s="10">
        <v>0.37159999999999999</v>
      </c>
      <c r="H60" s="77">
        <v>-138.96</v>
      </c>
      <c r="I60" s="77">
        <v>523.4</v>
      </c>
      <c r="J60" s="77">
        <v>651.29</v>
      </c>
      <c r="K60" s="76"/>
      <c r="L60" s="86">
        <v>0.87170000000000003</v>
      </c>
      <c r="M60" s="84">
        <f t="shared" si="10"/>
        <v>7.2673629000000002</v>
      </c>
      <c r="N60" s="84">
        <f t="shared" si="11"/>
        <v>14.608875524848223</v>
      </c>
      <c r="O60" s="76">
        <v>3.6655000000000002</v>
      </c>
      <c r="P60" s="76">
        <f t="shared" si="12"/>
        <v>3.5744100395580412</v>
      </c>
      <c r="Q60" s="10">
        <v>0.27950000000000003</v>
      </c>
      <c r="R60" s="83">
        <v>0.4113</v>
      </c>
      <c r="S60" s="10">
        <v>5222</v>
      </c>
      <c r="T60" s="83">
        <v>134381</v>
      </c>
      <c r="U60" s="10">
        <f t="shared" si="13"/>
        <v>0</v>
      </c>
      <c r="AC60" s="5">
        <f t="shared" si="8"/>
        <v>0</v>
      </c>
      <c r="AD60" s="5">
        <f t="shared" si="8"/>
        <v>0</v>
      </c>
      <c r="AE60" s="5">
        <f t="shared" si="8"/>
        <v>0</v>
      </c>
      <c r="AF60" s="5">
        <f t="shared" si="8"/>
        <v>0</v>
      </c>
      <c r="AG60" s="5">
        <f t="shared" si="8"/>
        <v>0</v>
      </c>
      <c r="AH60" s="5">
        <f t="shared" si="8"/>
        <v>0</v>
      </c>
      <c r="AI60" s="5">
        <f t="shared" si="8"/>
        <v>0</v>
      </c>
      <c r="AJ60" s="5">
        <f t="shared" si="8"/>
        <v>0</v>
      </c>
      <c r="AK60" s="5">
        <f t="shared" si="8"/>
        <v>0</v>
      </c>
      <c r="AL60" s="5">
        <f t="shared" si="8"/>
        <v>0</v>
      </c>
      <c r="AM60" s="5">
        <f t="shared" si="8"/>
        <v>0</v>
      </c>
      <c r="AN60" s="5">
        <f t="shared" si="8"/>
        <v>0</v>
      </c>
      <c r="AO60" s="5">
        <f t="shared" si="8"/>
        <v>0</v>
      </c>
      <c r="AP60" s="5">
        <f t="shared" si="8"/>
        <v>0</v>
      </c>
      <c r="AQ60" s="5">
        <f t="shared" si="8"/>
        <v>0</v>
      </c>
      <c r="AR60" s="5">
        <f t="shared" si="8"/>
        <v>0</v>
      </c>
    </row>
    <row r="61" spans="2:44" x14ac:dyDescent="0.25">
      <c r="B61" s="10" t="s">
        <v>202</v>
      </c>
      <c r="C61" s="98">
        <f t="shared" si="9"/>
        <v>0</v>
      </c>
      <c r="D61" s="10" t="s">
        <v>203</v>
      </c>
      <c r="E61" s="75">
        <v>106.16800000000001</v>
      </c>
      <c r="F61" s="75">
        <v>291.97000000000003</v>
      </c>
      <c r="G61" s="10">
        <v>0.26429999999999998</v>
      </c>
      <c r="H61" s="77">
        <v>-13.32</v>
      </c>
      <c r="I61" s="77">
        <v>541.6</v>
      </c>
      <c r="J61" s="77">
        <v>674.92</v>
      </c>
      <c r="K61" s="76"/>
      <c r="L61" s="86">
        <v>0.88470000000000004</v>
      </c>
      <c r="M61" s="84">
        <f t="shared" si="10"/>
        <v>7.3757438999999998</v>
      </c>
      <c r="N61" s="84">
        <f t="shared" si="11"/>
        <v>14.394209104792807</v>
      </c>
      <c r="O61" s="76">
        <v>3.6655000000000002</v>
      </c>
      <c r="P61" s="76">
        <f t="shared" si="12"/>
        <v>3.5744100395580412</v>
      </c>
      <c r="Q61" s="10">
        <v>0.29139999999999999</v>
      </c>
      <c r="R61" s="83">
        <v>0.41610000000000003</v>
      </c>
      <c r="S61" s="10">
        <v>5209</v>
      </c>
      <c r="T61" s="83">
        <v>136036</v>
      </c>
      <c r="U61" s="10">
        <f t="shared" si="13"/>
        <v>0</v>
      </c>
      <c r="AC61" s="5">
        <f t="shared" si="8"/>
        <v>0</v>
      </c>
      <c r="AD61" s="5">
        <f t="shared" si="8"/>
        <v>0</v>
      </c>
      <c r="AE61" s="5">
        <f t="shared" si="8"/>
        <v>0</v>
      </c>
      <c r="AF61" s="5">
        <f t="shared" si="8"/>
        <v>0</v>
      </c>
      <c r="AG61" s="5">
        <f t="shared" si="8"/>
        <v>0</v>
      </c>
      <c r="AH61" s="5">
        <f t="shared" si="8"/>
        <v>0</v>
      </c>
      <c r="AI61" s="5">
        <f t="shared" si="8"/>
        <v>0</v>
      </c>
      <c r="AJ61" s="5">
        <f t="shared" si="8"/>
        <v>0</v>
      </c>
      <c r="AK61" s="5">
        <f t="shared" si="8"/>
        <v>0</v>
      </c>
      <c r="AL61" s="5">
        <f t="shared" si="8"/>
        <v>0</v>
      </c>
      <c r="AM61" s="5">
        <f t="shared" si="8"/>
        <v>0</v>
      </c>
      <c r="AN61" s="5">
        <f t="shared" si="8"/>
        <v>0</v>
      </c>
      <c r="AO61" s="5">
        <f t="shared" si="8"/>
        <v>0</v>
      </c>
      <c r="AP61" s="5">
        <f t="shared" si="8"/>
        <v>0</v>
      </c>
      <c r="AQ61" s="5">
        <f t="shared" si="8"/>
        <v>0</v>
      </c>
      <c r="AR61" s="5">
        <f t="shared" si="8"/>
        <v>0</v>
      </c>
    </row>
    <row r="62" spans="2:44" x14ac:dyDescent="0.25">
      <c r="B62" s="10" t="s">
        <v>2</v>
      </c>
      <c r="C62" s="98">
        <f t="shared" si="9"/>
        <v>0</v>
      </c>
      <c r="D62" s="10" t="s">
        <v>204</v>
      </c>
      <c r="E62" s="75">
        <v>18.015000000000001</v>
      </c>
      <c r="F62" s="75">
        <v>212</v>
      </c>
      <c r="G62" s="10">
        <v>0.94950000000000001</v>
      </c>
      <c r="H62" s="77">
        <v>32</v>
      </c>
      <c r="I62" s="77">
        <v>3207.9</v>
      </c>
      <c r="J62" s="77">
        <v>705.5</v>
      </c>
      <c r="K62" s="76">
        <v>0.34339999999999998</v>
      </c>
      <c r="L62" s="86">
        <v>1</v>
      </c>
      <c r="M62" s="84">
        <v>8.3369999999999997</v>
      </c>
      <c r="N62" s="84">
        <f t="shared" si="11"/>
        <v>2.1608492263404102</v>
      </c>
      <c r="O62" s="76">
        <v>0.622</v>
      </c>
      <c r="P62" s="76">
        <f t="shared" si="12"/>
        <v>21.064308681672028</v>
      </c>
      <c r="Q62" s="10">
        <v>0.44469999999999998</v>
      </c>
      <c r="R62" s="83">
        <v>1.0009999999999999</v>
      </c>
      <c r="S62" s="10">
        <v>49</v>
      </c>
      <c r="T62" s="83">
        <v>0</v>
      </c>
      <c r="U62" s="10"/>
      <c r="AC62" s="5">
        <f t="shared" si="8"/>
        <v>0</v>
      </c>
      <c r="AD62" s="5">
        <f t="shared" si="8"/>
        <v>0</v>
      </c>
      <c r="AE62" s="5">
        <f t="shared" si="8"/>
        <v>0</v>
      </c>
      <c r="AF62" s="5">
        <f t="shared" si="8"/>
        <v>0</v>
      </c>
      <c r="AG62" s="5">
        <f t="shared" si="8"/>
        <v>0</v>
      </c>
      <c r="AH62" s="5">
        <f t="shared" si="8"/>
        <v>0</v>
      </c>
      <c r="AI62" s="5">
        <f t="shared" si="8"/>
        <v>0</v>
      </c>
      <c r="AJ62" s="5">
        <f t="shared" si="8"/>
        <v>0</v>
      </c>
      <c r="AK62" s="5">
        <f t="shared" si="8"/>
        <v>0</v>
      </c>
      <c r="AL62" s="5">
        <f t="shared" si="8"/>
        <v>0</v>
      </c>
      <c r="AM62" s="5">
        <f t="shared" si="8"/>
        <v>0</v>
      </c>
      <c r="AN62" s="5">
        <f t="shared" si="8"/>
        <v>0</v>
      </c>
      <c r="AO62" s="5">
        <f t="shared" si="8"/>
        <v>0</v>
      </c>
      <c r="AP62" s="5">
        <f t="shared" si="8"/>
        <v>0</v>
      </c>
      <c r="AQ62" s="5">
        <f t="shared" si="8"/>
        <v>0</v>
      </c>
      <c r="AR62" s="5">
        <f>T62*$C62</f>
        <v>0</v>
      </c>
    </row>
    <row r="63" spans="2:44" x14ac:dyDescent="0.25">
      <c r="B63" s="10" t="s">
        <v>205</v>
      </c>
      <c r="C63" s="98">
        <f>SUM(C47:C62)</f>
        <v>0.99979836635778385</v>
      </c>
      <c r="D63" s="10"/>
      <c r="E63" s="75">
        <f>AC63</f>
        <v>16.46771295789171</v>
      </c>
      <c r="F63" s="75">
        <f t="shared" ref="F63:T63" si="14">AD63</f>
        <v>-256.38438515344677</v>
      </c>
      <c r="G63" s="75">
        <f t="shared" si="14"/>
        <v>4889.3175875094275</v>
      </c>
      <c r="H63" s="75">
        <f t="shared" si="14"/>
        <v>-295.46649810373134</v>
      </c>
      <c r="I63" s="75">
        <f t="shared" si="14"/>
        <v>669.16799701831826</v>
      </c>
      <c r="J63" s="75">
        <f t="shared" si="14"/>
        <v>-113.64430295415346</v>
      </c>
      <c r="K63" s="75">
        <f t="shared" si="14"/>
        <v>0.99783687503542207</v>
      </c>
      <c r="L63" s="84">
        <f t="shared" si="14"/>
        <v>0.30702758211906406</v>
      </c>
      <c r="M63" s="84">
        <f t="shared" si="14"/>
        <v>2.5596889521266362</v>
      </c>
      <c r="N63" s="84">
        <f t="shared" si="14"/>
        <v>6.4445327767913545</v>
      </c>
      <c r="O63" s="75">
        <f t="shared" si="14"/>
        <v>0.56834921358044022</v>
      </c>
      <c r="P63" s="75">
        <f t="shared" si="14"/>
        <v>23.365517989389925</v>
      </c>
      <c r="Q63" s="75">
        <f t="shared" si="14"/>
        <v>0.52145962903647858</v>
      </c>
      <c r="R63" s="84">
        <f t="shared" si="14"/>
        <v>1.0130545472653071E-2</v>
      </c>
      <c r="S63" s="75">
        <f t="shared" si="14"/>
        <v>1007.3466740841047</v>
      </c>
      <c r="T63" s="84">
        <f t="shared" si="14"/>
        <v>800.14012895986855</v>
      </c>
      <c r="U63" s="75">
        <f>SUM(U51:U61)</f>
        <v>0.31476678261079988</v>
      </c>
      <c r="V63" s="66"/>
      <c r="W63" s="66"/>
      <c r="X63" s="66"/>
      <c r="Y63" s="66"/>
      <c r="Z63" s="66"/>
      <c r="AA63" s="66"/>
      <c r="AC63" s="5">
        <f>SUM(AC47:AC62)</f>
        <v>16.46771295789171</v>
      </c>
      <c r="AD63" s="5">
        <f t="shared" ref="AD63:AR63" si="15">SUM(AD47:AD62)</f>
        <v>-256.38438515344677</v>
      </c>
      <c r="AE63" s="5">
        <f t="shared" si="15"/>
        <v>4889.3175875094275</v>
      </c>
      <c r="AF63" s="5">
        <f t="shared" si="15"/>
        <v>-295.46649810373134</v>
      </c>
      <c r="AG63" s="5">
        <f t="shared" si="15"/>
        <v>669.16799701831826</v>
      </c>
      <c r="AH63" s="5">
        <f t="shared" si="15"/>
        <v>-113.64430295415346</v>
      </c>
      <c r="AI63" s="5">
        <f t="shared" si="15"/>
        <v>0.99783687503542207</v>
      </c>
      <c r="AJ63" s="5">
        <f t="shared" si="15"/>
        <v>0.30702758211906406</v>
      </c>
      <c r="AK63" s="5">
        <f t="shared" si="15"/>
        <v>2.5596889521266362</v>
      </c>
      <c r="AL63" s="5">
        <f t="shared" si="15"/>
        <v>6.4445327767913545</v>
      </c>
      <c r="AM63" s="5">
        <f t="shared" si="15"/>
        <v>0.56834921358044022</v>
      </c>
      <c r="AN63" s="5">
        <f t="shared" si="15"/>
        <v>23.365517989389925</v>
      </c>
      <c r="AO63" s="5">
        <f t="shared" si="15"/>
        <v>0.52145962903647858</v>
      </c>
      <c r="AP63" s="5">
        <f t="shared" si="15"/>
        <v>1.0130545472653071E-2</v>
      </c>
      <c r="AQ63" s="5">
        <f t="shared" si="15"/>
        <v>1007.3466740841047</v>
      </c>
      <c r="AR63" s="5">
        <f t="shared" si="15"/>
        <v>800.14012895986855</v>
      </c>
    </row>
    <row r="65" spans="1:44" x14ac:dyDescent="0.25">
      <c r="A65" s="68" t="s">
        <v>214</v>
      </c>
    </row>
    <row r="66" spans="1:44" x14ac:dyDescent="0.25">
      <c r="C66" s="16" t="s">
        <v>148</v>
      </c>
      <c r="D66" s="16"/>
      <c r="E66" s="16"/>
      <c r="F66" s="16" t="s">
        <v>149</v>
      </c>
      <c r="G66" s="16" t="s">
        <v>150</v>
      </c>
      <c r="H66" s="16" t="s">
        <v>151</v>
      </c>
      <c r="I66" s="16" t="s">
        <v>152</v>
      </c>
      <c r="J66" s="16" t="s">
        <v>153</v>
      </c>
      <c r="K66" s="16"/>
      <c r="L66" s="294" t="s">
        <v>154</v>
      </c>
      <c r="M66" s="295"/>
      <c r="N66" s="296"/>
      <c r="O66" s="302" t="s">
        <v>155</v>
      </c>
      <c r="P66" s="303"/>
      <c r="Q66" s="81" t="s">
        <v>156</v>
      </c>
      <c r="R66" s="16" t="s">
        <v>157</v>
      </c>
      <c r="S66" s="81" t="s">
        <v>158</v>
      </c>
      <c r="T66" s="16" t="s">
        <v>159</v>
      </c>
      <c r="U66" s="81" t="s">
        <v>160</v>
      </c>
    </row>
    <row r="67" spans="1:44" x14ac:dyDescent="0.25">
      <c r="C67" s="53" t="s">
        <v>161</v>
      </c>
      <c r="D67" s="53" t="s">
        <v>162</v>
      </c>
      <c r="E67" s="53" t="s">
        <v>163</v>
      </c>
      <c r="F67" s="74" t="s">
        <v>164</v>
      </c>
      <c r="G67" s="74" t="s">
        <v>165</v>
      </c>
      <c r="H67" s="53" t="s">
        <v>166</v>
      </c>
      <c r="I67" s="53" t="s">
        <v>167</v>
      </c>
      <c r="J67" s="53" t="s">
        <v>168</v>
      </c>
      <c r="K67" s="53" t="s">
        <v>169</v>
      </c>
      <c r="L67" s="10" t="s">
        <v>170</v>
      </c>
      <c r="M67" s="10" t="s">
        <v>171</v>
      </c>
      <c r="N67" s="75" t="s">
        <v>172</v>
      </c>
      <c r="O67" s="86" t="s">
        <v>170</v>
      </c>
      <c r="P67" s="86" t="s">
        <v>173</v>
      </c>
      <c r="Q67" s="85" t="s">
        <v>174</v>
      </c>
      <c r="R67" s="53" t="s">
        <v>174</v>
      </c>
      <c r="S67" s="85" t="s">
        <v>175</v>
      </c>
      <c r="T67" s="53" t="s">
        <v>176</v>
      </c>
      <c r="U67" s="85" t="s">
        <v>177</v>
      </c>
    </row>
    <row r="68" spans="1:44" x14ac:dyDescent="0.25">
      <c r="B68" s="10" t="s">
        <v>178</v>
      </c>
      <c r="C68" s="98">
        <f>AB25/$AB$41</f>
        <v>0</v>
      </c>
      <c r="D68" s="10" t="s">
        <v>5</v>
      </c>
      <c r="E68" s="75">
        <v>28.013000000000002</v>
      </c>
      <c r="F68" s="75">
        <v>-297.33199999999999</v>
      </c>
      <c r="G68" s="10"/>
      <c r="H68" s="77">
        <v>-346</v>
      </c>
      <c r="I68" s="77">
        <v>493</v>
      </c>
      <c r="J68" s="77">
        <v>-232.7</v>
      </c>
      <c r="K68" s="76">
        <v>0.99997000000000003</v>
      </c>
      <c r="L68" s="76">
        <v>0.80940000000000001</v>
      </c>
      <c r="M68" s="75">
        <f>L68*$M$19</f>
        <v>6.7479677999999996</v>
      </c>
      <c r="N68" s="75">
        <f>E68/M68</f>
        <v>4.1513238993226977</v>
      </c>
      <c r="O68" s="86">
        <v>13.547000000000001</v>
      </c>
      <c r="P68" s="86">
        <f>13.102/O68</f>
        <v>0.96715139883369006</v>
      </c>
      <c r="Q68" s="83">
        <v>0.24840000000000001</v>
      </c>
      <c r="R68" s="10"/>
      <c r="S68" s="83"/>
      <c r="T68" s="10"/>
      <c r="U68" s="83"/>
      <c r="AC68" s="5">
        <f t="shared" ref="AC68:AR83" si="16">E68*$C68</f>
        <v>0</v>
      </c>
      <c r="AD68" s="5">
        <f t="shared" si="16"/>
        <v>0</v>
      </c>
      <c r="AE68" s="5">
        <f t="shared" si="16"/>
        <v>0</v>
      </c>
      <c r="AF68" s="5">
        <f t="shared" si="16"/>
        <v>0</v>
      </c>
      <c r="AG68" s="5">
        <f t="shared" si="16"/>
        <v>0</v>
      </c>
      <c r="AH68" s="5">
        <f t="shared" si="16"/>
        <v>0</v>
      </c>
      <c r="AI68" s="5">
        <f t="shared" si="16"/>
        <v>0</v>
      </c>
      <c r="AJ68" s="5">
        <f t="shared" si="16"/>
        <v>0</v>
      </c>
      <c r="AK68" s="5">
        <f t="shared" si="16"/>
        <v>0</v>
      </c>
      <c r="AL68" s="5">
        <f t="shared" si="16"/>
        <v>0</v>
      </c>
      <c r="AM68" s="5">
        <f t="shared" si="16"/>
        <v>0</v>
      </c>
      <c r="AN68" s="5">
        <f t="shared" si="16"/>
        <v>0</v>
      </c>
      <c r="AO68" s="5">
        <f t="shared" si="16"/>
        <v>0</v>
      </c>
      <c r="AP68" s="5">
        <f t="shared" si="16"/>
        <v>0</v>
      </c>
      <c r="AQ68" s="5">
        <f t="shared" si="16"/>
        <v>0</v>
      </c>
      <c r="AR68" s="5">
        <f t="shared" si="16"/>
        <v>0</v>
      </c>
    </row>
    <row r="69" spans="1:44" x14ac:dyDescent="0.25">
      <c r="B69" s="10" t="s">
        <v>179</v>
      </c>
      <c r="C69" s="98">
        <f t="shared" ref="C69:C83" si="17">AB26/$AB$41</f>
        <v>1.5499898548774161E-2</v>
      </c>
      <c r="D69" s="10" t="s">
        <v>180</v>
      </c>
      <c r="E69" s="75">
        <v>44.01</v>
      </c>
      <c r="F69" s="75">
        <v>-109.32</v>
      </c>
      <c r="G69" s="10"/>
      <c r="H69" s="77">
        <v>-69.77</v>
      </c>
      <c r="I69" s="77">
        <v>1071</v>
      </c>
      <c r="J69" s="77">
        <v>87.87</v>
      </c>
      <c r="K69" s="76">
        <v>0.99429999999999996</v>
      </c>
      <c r="L69" s="76">
        <v>0.81759999999999999</v>
      </c>
      <c r="M69" s="75">
        <f t="shared" ref="M69:M82" si="18">L69*$M$19</f>
        <v>6.8163311999999996</v>
      </c>
      <c r="N69" s="75">
        <f>E69/M69</f>
        <v>6.4565524632957976</v>
      </c>
      <c r="O69" s="86">
        <v>8.6229999999999993</v>
      </c>
      <c r="P69" s="86">
        <f>13.102/O69</f>
        <v>1.5194247941551666</v>
      </c>
      <c r="Q69" s="83">
        <v>0.19900000000000001</v>
      </c>
      <c r="R69" s="10"/>
      <c r="S69" s="83"/>
      <c r="T69" s="10"/>
      <c r="U69" s="83"/>
      <c r="AC69" s="5">
        <f t="shared" si="16"/>
        <v>0.68215053513155077</v>
      </c>
      <c r="AD69" s="5">
        <f t="shared" si="16"/>
        <v>-1.6944489093519912</v>
      </c>
      <c r="AE69" s="5">
        <f t="shared" si="16"/>
        <v>0</v>
      </c>
      <c r="AF69" s="5">
        <f t="shared" si="16"/>
        <v>-1.0814279217479732</v>
      </c>
      <c r="AG69" s="5">
        <f t="shared" si="16"/>
        <v>16.600391345737126</v>
      </c>
      <c r="AH69" s="5">
        <f t="shared" si="16"/>
        <v>1.3619760854807856</v>
      </c>
      <c r="AI69" s="5">
        <f t="shared" si="16"/>
        <v>1.5411549127046148E-2</v>
      </c>
      <c r="AJ69" s="5">
        <f t="shared" si="16"/>
        <v>1.2672717053477753E-2</v>
      </c>
      <c r="AK69" s="5">
        <f t="shared" si="16"/>
        <v>0.10565244207484403</v>
      </c>
      <c r="AL69" s="5">
        <f t="shared" si="16"/>
        <v>0.10007590815592277</v>
      </c>
      <c r="AM69" s="5">
        <f t="shared" si="16"/>
        <v>0.1336556251860796</v>
      </c>
      <c r="AN69" s="5">
        <f t="shared" si="16"/>
        <v>2.3550930161897146E-2</v>
      </c>
      <c r="AO69" s="5">
        <f t="shared" si="16"/>
        <v>3.0844798112060583E-3</v>
      </c>
      <c r="AP69" s="5">
        <f t="shared" si="16"/>
        <v>0</v>
      </c>
      <c r="AQ69" s="5">
        <f t="shared" si="16"/>
        <v>0</v>
      </c>
      <c r="AR69" s="5">
        <f t="shared" si="16"/>
        <v>0</v>
      </c>
    </row>
    <row r="70" spans="1:44" x14ac:dyDescent="0.25">
      <c r="B70" s="10" t="s">
        <v>181</v>
      </c>
      <c r="C70" s="98">
        <f t="shared" si="17"/>
        <v>0</v>
      </c>
      <c r="D70" s="10" t="s">
        <v>3</v>
      </c>
      <c r="E70" s="75">
        <v>34.076000000000001</v>
      </c>
      <c r="F70" s="75">
        <v>-76.56</v>
      </c>
      <c r="G70" s="10">
        <v>387.1</v>
      </c>
      <c r="H70" s="77">
        <v>-121.58</v>
      </c>
      <c r="I70" s="77">
        <v>1036</v>
      </c>
      <c r="J70" s="77">
        <v>212.6</v>
      </c>
      <c r="K70" s="76">
        <v>0.99029999999999996</v>
      </c>
      <c r="L70" s="76">
        <v>0.78710000000000002</v>
      </c>
      <c r="M70" s="75">
        <f t="shared" si="18"/>
        <v>6.5620526999999997</v>
      </c>
      <c r="N70" s="75">
        <f>E70/M70</f>
        <v>5.1928872805303747</v>
      </c>
      <c r="O70" s="86">
        <v>11.135999999999999</v>
      </c>
      <c r="P70" s="86">
        <f>13.102/O70</f>
        <v>1.1765445402298851</v>
      </c>
      <c r="Q70" s="83">
        <v>0.2379</v>
      </c>
      <c r="R70" s="10">
        <v>0.49680000000000002</v>
      </c>
      <c r="S70" s="83">
        <v>637</v>
      </c>
      <c r="T70" s="10"/>
      <c r="U70" s="83"/>
      <c r="AC70" s="5">
        <f t="shared" si="16"/>
        <v>0</v>
      </c>
      <c r="AD70" s="5">
        <f t="shared" si="16"/>
        <v>0</v>
      </c>
      <c r="AE70" s="5">
        <f t="shared" si="16"/>
        <v>0</v>
      </c>
      <c r="AF70" s="5">
        <f t="shared" si="16"/>
        <v>0</v>
      </c>
      <c r="AG70" s="5">
        <f t="shared" si="16"/>
        <v>0</v>
      </c>
      <c r="AH70" s="5">
        <f t="shared" si="16"/>
        <v>0</v>
      </c>
      <c r="AI70" s="5">
        <f t="shared" si="16"/>
        <v>0</v>
      </c>
      <c r="AJ70" s="5">
        <f t="shared" si="16"/>
        <v>0</v>
      </c>
      <c r="AK70" s="5">
        <f t="shared" si="16"/>
        <v>0</v>
      </c>
      <c r="AL70" s="5">
        <f t="shared" si="16"/>
        <v>0</v>
      </c>
      <c r="AM70" s="5">
        <f t="shared" si="16"/>
        <v>0</v>
      </c>
      <c r="AN70" s="5">
        <f t="shared" si="16"/>
        <v>0</v>
      </c>
      <c r="AO70" s="5">
        <f t="shared" si="16"/>
        <v>0</v>
      </c>
      <c r="AP70" s="5">
        <f t="shared" si="16"/>
        <v>0</v>
      </c>
      <c r="AQ70" s="5">
        <f t="shared" si="16"/>
        <v>0</v>
      </c>
      <c r="AR70" s="5">
        <f t="shared" si="16"/>
        <v>0</v>
      </c>
    </row>
    <row r="71" spans="1:44" x14ac:dyDescent="0.25">
      <c r="B71" s="10" t="s">
        <v>182</v>
      </c>
      <c r="C71" s="98">
        <f t="shared" si="17"/>
        <v>1.9942920874528612E-2</v>
      </c>
      <c r="D71" s="10" t="s">
        <v>183</v>
      </c>
      <c r="E71" s="75">
        <v>16.042999999999999</v>
      </c>
      <c r="F71" s="75">
        <v>-258.7</v>
      </c>
      <c r="G71" s="10">
        <v>5000</v>
      </c>
      <c r="H71" s="77">
        <v>-296.5</v>
      </c>
      <c r="I71" s="77">
        <v>667.8</v>
      </c>
      <c r="J71" s="77">
        <v>-116.68</v>
      </c>
      <c r="K71" s="76">
        <v>0.99809999999999999</v>
      </c>
      <c r="L71" s="76">
        <v>0.3</v>
      </c>
      <c r="M71" s="75">
        <f t="shared" si="18"/>
        <v>2.5010999999999997</v>
      </c>
      <c r="N71" s="75">
        <f>E71/M71</f>
        <v>6.4143776738235179</v>
      </c>
      <c r="O71" s="86">
        <v>0.55389999999999995</v>
      </c>
      <c r="P71" s="86">
        <f>13.102/O71</f>
        <v>23.654089185773607</v>
      </c>
      <c r="Q71" s="83">
        <v>0.52659999999999996</v>
      </c>
      <c r="R71" s="10"/>
      <c r="S71" s="83">
        <v>1009.7</v>
      </c>
      <c r="T71" s="10"/>
      <c r="U71" s="83"/>
      <c r="AC71" s="5">
        <f t="shared" si="16"/>
        <v>0.3199442795900625</v>
      </c>
      <c r="AD71" s="5">
        <f t="shared" si="16"/>
        <v>-5.1592336302405517</v>
      </c>
      <c r="AE71" s="5">
        <f t="shared" si="16"/>
        <v>99.714604372643066</v>
      </c>
      <c r="AF71" s="5">
        <f t="shared" si="16"/>
        <v>-5.9130760392977333</v>
      </c>
      <c r="AG71" s="5">
        <f t="shared" si="16"/>
        <v>13.317882560010206</v>
      </c>
      <c r="AH71" s="5">
        <f t="shared" si="16"/>
        <v>-2.3269400076399984</v>
      </c>
      <c r="AI71" s="5">
        <f t="shared" si="16"/>
        <v>1.9905029324867006E-2</v>
      </c>
      <c r="AJ71" s="5">
        <f t="shared" si="16"/>
        <v>5.9828762623585835E-3</v>
      </c>
      <c r="AK71" s="5">
        <f t="shared" si="16"/>
        <v>4.9879239399283508E-2</v>
      </c>
      <c r="AL71" s="5">
        <f t="shared" si="16"/>
        <v>0.12792142640840531</v>
      </c>
      <c r="AM71" s="5">
        <f t="shared" si="16"/>
        <v>1.1046383872401398E-2</v>
      </c>
      <c r="AN71" s="5">
        <f t="shared" si="16"/>
        <v>0.47173162899092597</v>
      </c>
      <c r="AO71" s="5">
        <f t="shared" si="16"/>
        <v>1.0501942132526766E-2</v>
      </c>
      <c r="AP71" s="5">
        <f t="shared" si="16"/>
        <v>0</v>
      </c>
      <c r="AQ71" s="5">
        <f t="shared" si="16"/>
        <v>20.136367207011542</v>
      </c>
      <c r="AR71" s="5">
        <f t="shared" si="16"/>
        <v>0</v>
      </c>
    </row>
    <row r="72" spans="1:44" x14ac:dyDescent="0.25">
      <c r="B72" s="10" t="s">
        <v>184</v>
      </c>
      <c r="C72" s="98">
        <f t="shared" si="17"/>
        <v>0.46486782878150168</v>
      </c>
      <c r="D72" s="10" t="s">
        <v>185</v>
      </c>
      <c r="E72" s="75">
        <v>30.7</v>
      </c>
      <c r="F72" s="75">
        <v>-127.44</v>
      </c>
      <c r="G72" s="10">
        <v>800</v>
      </c>
      <c r="H72" s="77">
        <v>-297.04000000000002</v>
      </c>
      <c r="I72" s="77">
        <v>707.8</v>
      </c>
      <c r="J72" s="77">
        <v>90.1</v>
      </c>
      <c r="K72" s="76">
        <v>0.99609999999999999</v>
      </c>
      <c r="L72" s="76">
        <v>0.35630000000000001</v>
      </c>
      <c r="M72" s="75">
        <f t="shared" si="18"/>
        <v>2.9704731</v>
      </c>
      <c r="N72" s="75">
        <f t="shared" ref="N72:N83" si="19">E72/M72</f>
        <v>10.335054035668595</v>
      </c>
      <c r="O72" s="86">
        <v>1.0382</v>
      </c>
      <c r="P72" s="86">
        <f t="shared" ref="P72:P83" si="20">13.102/O72</f>
        <v>12.619919090733962</v>
      </c>
      <c r="Q72" s="83">
        <v>0.40799999999999997</v>
      </c>
      <c r="R72" s="10">
        <v>0.92559999999999998</v>
      </c>
      <c r="S72" s="83">
        <v>1768</v>
      </c>
      <c r="T72" s="10">
        <v>65889</v>
      </c>
      <c r="U72" s="83">
        <f>N72*C72/100/0.3795</f>
        <v>0.12659905480634404</v>
      </c>
      <c r="AC72" s="5">
        <f t="shared" si="16"/>
        <v>14.271442343592101</v>
      </c>
      <c r="AD72" s="5">
        <f t="shared" si="16"/>
        <v>-59.242756099914573</v>
      </c>
      <c r="AE72" s="5">
        <f t="shared" si="16"/>
        <v>371.89426302520133</v>
      </c>
      <c r="AF72" s="5">
        <f t="shared" si="16"/>
        <v>-138.08433986125726</v>
      </c>
      <c r="AG72" s="5">
        <f t="shared" si="16"/>
        <v>329.03344921154689</v>
      </c>
      <c r="AH72" s="5">
        <f t="shared" si="16"/>
        <v>41.884591373213297</v>
      </c>
      <c r="AI72" s="5">
        <f t="shared" si="16"/>
        <v>0.46305484424925381</v>
      </c>
      <c r="AJ72" s="5">
        <f t="shared" si="16"/>
        <v>0.16563240739484905</v>
      </c>
      <c r="AK72" s="5">
        <f t="shared" si="16"/>
        <v>1.3808773804508565</v>
      </c>
      <c r="AL72" s="5">
        <f t="shared" si="16"/>
        <v>4.8044341299007565</v>
      </c>
      <c r="AM72" s="5">
        <f t="shared" si="16"/>
        <v>0.48262577984095506</v>
      </c>
      <c r="AN72" s="5">
        <f t="shared" si="16"/>
        <v>5.8665943871077202</v>
      </c>
      <c r="AO72" s="5">
        <f t="shared" si="16"/>
        <v>0.18966607414285266</v>
      </c>
      <c r="AP72" s="5">
        <f t="shared" si="16"/>
        <v>0.43028166232015796</v>
      </c>
      <c r="AQ72" s="5">
        <f t="shared" si="16"/>
        <v>821.88632128569498</v>
      </c>
      <c r="AR72" s="5">
        <f t="shared" si="16"/>
        <v>30629.676370584366</v>
      </c>
    </row>
    <row r="73" spans="1:44" x14ac:dyDescent="0.25">
      <c r="B73" s="10" t="s">
        <v>186</v>
      </c>
      <c r="C73" s="98">
        <f t="shared" si="17"/>
        <v>0.28403431779224103</v>
      </c>
      <c r="D73" s="10" t="s">
        <v>187</v>
      </c>
      <c r="E73" s="75">
        <v>44.097000000000001</v>
      </c>
      <c r="F73" s="75">
        <v>-43.73</v>
      </c>
      <c r="G73" s="10">
        <v>188</v>
      </c>
      <c r="H73" s="77">
        <v>-305.82</v>
      </c>
      <c r="I73" s="77">
        <v>616.29999999999995</v>
      </c>
      <c r="J73" s="77">
        <v>206.1</v>
      </c>
      <c r="K73" s="76">
        <v>0.98080000000000001</v>
      </c>
      <c r="L73" s="76">
        <v>0.50749999999999995</v>
      </c>
      <c r="M73" s="75">
        <f t="shared" si="18"/>
        <v>4.2310274999999997</v>
      </c>
      <c r="N73" s="75">
        <f t="shared" si="19"/>
        <v>10.422291039233379</v>
      </c>
      <c r="O73" s="86">
        <v>1.5225</v>
      </c>
      <c r="P73" s="86">
        <f t="shared" si="20"/>
        <v>8.6055829228243024</v>
      </c>
      <c r="Q73" s="83">
        <v>0.38869999999999999</v>
      </c>
      <c r="R73" s="10">
        <v>0.59019999999999995</v>
      </c>
      <c r="S73" s="83">
        <v>2517</v>
      </c>
      <c r="T73" s="10">
        <v>90962</v>
      </c>
      <c r="U73" s="83">
        <f t="shared" ref="U73:U82" si="21">N73*C73/100/0.3795</f>
        <v>7.8004962454831073E-2</v>
      </c>
      <c r="AC73" s="5">
        <f t="shared" si="16"/>
        <v>12.525061311684453</v>
      </c>
      <c r="AD73" s="5">
        <f t="shared" si="16"/>
        <v>-12.420820717054699</v>
      </c>
      <c r="AE73" s="5">
        <f t="shared" si="16"/>
        <v>53.398451744941312</v>
      </c>
      <c r="AF73" s="5">
        <f t="shared" si="16"/>
        <v>-86.863375067223146</v>
      </c>
      <c r="AG73" s="5">
        <f t="shared" si="16"/>
        <v>175.05035005535814</v>
      </c>
      <c r="AH73" s="5">
        <f t="shared" si="16"/>
        <v>58.539472896980875</v>
      </c>
      <c r="AI73" s="5">
        <f t="shared" si="16"/>
        <v>0.27858085889063</v>
      </c>
      <c r="AJ73" s="5">
        <f t="shared" si="16"/>
        <v>0.14414741627956232</v>
      </c>
      <c r="AK73" s="5">
        <f t="shared" si="16"/>
        <v>1.201757009522711</v>
      </c>
      <c r="AL73" s="5">
        <f t="shared" si="16"/>
        <v>2.9602883251608394</v>
      </c>
      <c r="AM73" s="5">
        <f t="shared" si="16"/>
        <v>0.43244224883868698</v>
      </c>
      <c r="AN73" s="5">
        <f t="shared" si="16"/>
        <v>2.4442808746889604</v>
      </c>
      <c r="AO73" s="5">
        <f t="shared" si="16"/>
        <v>0.11040413932584409</v>
      </c>
      <c r="AP73" s="5">
        <f t="shared" si="16"/>
        <v>0.16763705436098064</v>
      </c>
      <c r="AQ73" s="5">
        <f t="shared" si="16"/>
        <v>714.91437788307064</v>
      </c>
      <c r="AR73" s="5">
        <f t="shared" si="16"/>
        <v>25836.329615017828</v>
      </c>
    </row>
    <row r="74" spans="1:44" x14ac:dyDescent="0.25">
      <c r="B74" s="10" t="s">
        <v>188</v>
      </c>
      <c r="C74" s="98">
        <f t="shared" si="17"/>
        <v>4.9875504128512327E-2</v>
      </c>
      <c r="D74" s="10" t="s">
        <v>189</v>
      </c>
      <c r="E74" s="75">
        <v>58.124000000000002</v>
      </c>
      <c r="F74" s="75">
        <v>10.74</v>
      </c>
      <c r="G74" s="10">
        <v>72.39</v>
      </c>
      <c r="H74" s="77">
        <v>-255.28</v>
      </c>
      <c r="I74" s="77">
        <v>529.1</v>
      </c>
      <c r="J74" s="77">
        <v>274.95999999999998</v>
      </c>
      <c r="K74" s="76">
        <v>0.96609999999999996</v>
      </c>
      <c r="L74" s="76">
        <v>0.56299999999999994</v>
      </c>
      <c r="M74" s="75">
        <f t="shared" si="18"/>
        <v>4.6937309999999997</v>
      </c>
      <c r="N74" s="75">
        <f t="shared" si="19"/>
        <v>12.383325759401211</v>
      </c>
      <c r="O74" s="86">
        <v>2.0068000000000001</v>
      </c>
      <c r="P74" s="86">
        <f t="shared" si="20"/>
        <v>6.5288020729519634</v>
      </c>
      <c r="Q74" s="83">
        <v>0.38669999999999999</v>
      </c>
      <c r="R74" s="10">
        <v>0.56599999999999995</v>
      </c>
      <c r="S74" s="83">
        <v>3252</v>
      </c>
      <c r="T74" s="10">
        <v>98968</v>
      </c>
      <c r="U74" s="83">
        <f t="shared" si="21"/>
        <v>1.6274693413378873E-2</v>
      </c>
      <c r="AC74" s="5">
        <f t="shared" si="16"/>
        <v>2.8989638019656505</v>
      </c>
      <c r="AD74" s="5">
        <f t="shared" si="16"/>
        <v>0.5356629143402224</v>
      </c>
      <c r="AE74" s="5">
        <f t="shared" si="16"/>
        <v>3.6104877438630072</v>
      </c>
      <c r="AF74" s="5">
        <f t="shared" si="16"/>
        <v>-12.732218693926626</v>
      </c>
      <c r="AG74" s="5">
        <f t="shared" si="16"/>
        <v>26.389129234395874</v>
      </c>
      <c r="AH74" s="5">
        <f t="shared" si="16"/>
        <v>13.713768615175749</v>
      </c>
      <c r="AI74" s="5">
        <f t="shared" si="16"/>
        <v>4.8184724538555754E-2</v>
      </c>
      <c r="AJ74" s="5">
        <f t="shared" si="16"/>
        <v>2.8079908824352438E-2</v>
      </c>
      <c r="AK74" s="5">
        <f t="shared" si="16"/>
        <v>0.23410219986862627</v>
      </c>
      <c r="AL74" s="5">
        <f t="shared" si="16"/>
        <v>0.61762461503772814</v>
      </c>
      <c r="AM74" s="5">
        <f t="shared" si="16"/>
        <v>0.10009016168509854</v>
      </c>
      <c r="AN74" s="5">
        <f t="shared" si="16"/>
        <v>0.32562729474375551</v>
      </c>
      <c r="AO74" s="5">
        <f t="shared" si="16"/>
        <v>1.9286857446495716E-2</v>
      </c>
      <c r="AP74" s="5">
        <f t="shared" si="16"/>
        <v>2.8229535336737974E-2</v>
      </c>
      <c r="AQ74" s="5">
        <f t="shared" si="16"/>
        <v>162.19513942592209</v>
      </c>
      <c r="AR74" s="5">
        <f t="shared" si="16"/>
        <v>4936.0788925906081</v>
      </c>
    </row>
    <row r="75" spans="1:44" x14ac:dyDescent="0.25">
      <c r="B75" s="10" t="s">
        <v>190</v>
      </c>
      <c r="C75" s="98">
        <f t="shared" si="17"/>
        <v>7.2130509661922332E-2</v>
      </c>
      <c r="D75" s="10" t="s">
        <v>189</v>
      </c>
      <c r="E75" s="75">
        <v>58.124000000000002</v>
      </c>
      <c r="F75" s="75">
        <v>31.12</v>
      </c>
      <c r="G75" s="10">
        <v>51.54</v>
      </c>
      <c r="H75" s="77">
        <v>-217.05</v>
      </c>
      <c r="I75" s="77">
        <v>550.70000000000005</v>
      </c>
      <c r="J75" s="77">
        <v>305.62</v>
      </c>
      <c r="K75" s="76">
        <v>0.93669999999999998</v>
      </c>
      <c r="L75" s="76">
        <v>0.58430000000000004</v>
      </c>
      <c r="M75" s="75">
        <f t="shared" si="18"/>
        <v>4.8713091000000004</v>
      </c>
      <c r="N75" s="75">
        <f t="shared" si="19"/>
        <v>11.931905532334213</v>
      </c>
      <c r="O75" s="86">
        <v>2.0068000000000001</v>
      </c>
      <c r="P75" s="86">
        <f t="shared" si="20"/>
        <v>6.5288020729519634</v>
      </c>
      <c r="Q75" s="83">
        <v>0.39510000000000001</v>
      </c>
      <c r="R75" s="10">
        <v>0.56599999999999995</v>
      </c>
      <c r="S75" s="83">
        <v>3262</v>
      </c>
      <c r="T75" s="10">
        <v>102918</v>
      </c>
      <c r="U75" s="83">
        <f t="shared" si="21"/>
        <v>2.2678641035182544E-2</v>
      </c>
      <c r="AC75" s="5">
        <f t="shared" si="16"/>
        <v>4.1925137435895738</v>
      </c>
      <c r="AD75" s="5">
        <f t="shared" si="16"/>
        <v>2.244701460679023</v>
      </c>
      <c r="AE75" s="5">
        <f t="shared" si="16"/>
        <v>3.717606467975477</v>
      </c>
      <c r="AF75" s="5">
        <f t="shared" si="16"/>
        <v>-15.655927122120243</v>
      </c>
      <c r="AG75" s="5">
        <f t="shared" si="16"/>
        <v>39.722271670820632</v>
      </c>
      <c r="AH75" s="5">
        <f t="shared" si="16"/>
        <v>22.044526362876702</v>
      </c>
      <c r="AI75" s="5">
        <f t="shared" si="16"/>
        <v>6.7564648400322641E-2</v>
      </c>
      <c r="AJ75" s="5">
        <f t="shared" si="16"/>
        <v>4.214585679546122E-2</v>
      </c>
      <c r="AK75" s="5">
        <f t="shared" si="16"/>
        <v>0.35137000810376023</v>
      </c>
      <c r="AL75" s="5">
        <f t="shared" si="16"/>
        <v>0.86065442728517749</v>
      </c>
      <c r="AM75" s="5">
        <f t="shared" si="16"/>
        <v>0.14475150678954574</v>
      </c>
      <c r="AN75" s="5">
        <f t="shared" si="16"/>
        <v>0.47092582100384012</v>
      </c>
      <c r="AO75" s="5">
        <f t="shared" si="16"/>
        <v>2.8498764367425513E-2</v>
      </c>
      <c r="AP75" s="5">
        <f t="shared" si="16"/>
        <v>4.0825868468648038E-2</v>
      </c>
      <c r="AQ75" s="5">
        <f t="shared" si="16"/>
        <v>235.28972251719065</v>
      </c>
      <c r="AR75" s="5">
        <f t="shared" si="16"/>
        <v>7423.5277933857224</v>
      </c>
    </row>
    <row r="76" spans="1:44" x14ac:dyDescent="0.25">
      <c r="B76" s="10" t="s">
        <v>191</v>
      </c>
      <c r="C76" s="98">
        <f t="shared" si="17"/>
        <v>3.1498950735611056E-2</v>
      </c>
      <c r="D76" s="10" t="s">
        <v>192</v>
      </c>
      <c r="E76" s="75">
        <v>72.150999999999996</v>
      </c>
      <c r="F76" s="75">
        <v>82.11</v>
      </c>
      <c r="G76" s="10">
        <v>20.443999999999999</v>
      </c>
      <c r="H76" s="77">
        <v>-255.82</v>
      </c>
      <c r="I76" s="77">
        <v>490.4</v>
      </c>
      <c r="J76" s="77">
        <v>369.03</v>
      </c>
      <c r="K76" s="76">
        <v>0.94799999999999995</v>
      </c>
      <c r="L76" s="76">
        <v>0.62439999999999996</v>
      </c>
      <c r="M76" s="75">
        <f t="shared" si="18"/>
        <v>5.2056227999999996</v>
      </c>
      <c r="N76" s="75">
        <f t="shared" si="19"/>
        <v>13.860205161234502</v>
      </c>
      <c r="O76" s="86">
        <v>2.4910999999999999</v>
      </c>
      <c r="P76" s="86">
        <f t="shared" si="20"/>
        <v>5.2595239051021645</v>
      </c>
      <c r="Q76" s="83">
        <v>0.38290000000000002</v>
      </c>
      <c r="R76" s="10">
        <v>0.5353</v>
      </c>
      <c r="S76" s="83">
        <v>4000</v>
      </c>
      <c r="T76" s="10">
        <v>108722</v>
      </c>
      <c r="U76" s="83">
        <f t="shared" si="21"/>
        <v>1.1504134902745393E-2</v>
      </c>
      <c r="AC76" s="5">
        <f t="shared" si="16"/>
        <v>2.2726807945250731</v>
      </c>
      <c r="AD76" s="5">
        <f t="shared" si="16"/>
        <v>2.5863788449010237</v>
      </c>
      <c r="AE76" s="5">
        <f t="shared" si="16"/>
        <v>0.64396454883883236</v>
      </c>
      <c r="AF76" s="5">
        <f t="shared" si="16"/>
        <v>-8.0580615771840201</v>
      </c>
      <c r="AG76" s="5">
        <f t="shared" si="16"/>
        <v>15.447085440743662</v>
      </c>
      <c r="AH76" s="5">
        <f t="shared" si="16"/>
        <v>11.624057789962547</v>
      </c>
      <c r="AI76" s="5">
        <f t="shared" si="16"/>
        <v>2.9861005297359279E-2</v>
      </c>
      <c r="AJ76" s="5">
        <f t="shared" si="16"/>
        <v>1.966794483931554E-2</v>
      </c>
      <c r="AK76" s="5">
        <f t="shared" si="16"/>
        <v>0.16397165612537368</v>
      </c>
      <c r="AL76" s="5">
        <f t="shared" si="16"/>
        <v>0.43658191955918768</v>
      </c>
      <c r="AM76" s="5">
        <f t="shared" si="16"/>
        <v>7.8467036177480701E-2</v>
      </c>
      <c r="AN76" s="5">
        <f t="shared" si="16"/>
        <v>0.16566948437958176</v>
      </c>
      <c r="AO76" s="5">
        <f t="shared" si="16"/>
        <v>1.2060948236665474E-2</v>
      </c>
      <c r="AP76" s="5">
        <f t="shared" si="16"/>
        <v>1.6861388328772597E-2</v>
      </c>
      <c r="AQ76" s="5">
        <f t="shared" si="16"/>
        <v>125.99580294244423</v>
      </c>
      <c r="AR76" s="5">
        <f t="shared" si="16"/>
        <v>3424.6289218771053</v>
      </c>
    </row>
    <row r="77" spans="1:44" x14ac:dyDescent="0.25">
      <c r="B77" s="10" t="s">
        <v>193</v>
      </c>
      <c r="C77" s="98">
        <f t="shared" si="17"/>
        <v>4.4177089720374561E-2</v>
      </c>
      <c r="D77" s="10" t="s">
        <v>192</v>
      </c>
      <c r="E77" s="75">
        <v>72.150999999999996</v>
      </c>
      <c r="F77" s="75">
        <v>96.91</v>
      </c>
      <c r="G77" s="10">
        <v>15.574999999999999</v>
      </c>
      <c r="H77" s="77">
        <v>-201.51</v>
      </c>
      <c r="I77" s="77">
        <v>488.6</v>
      </c>
      <c r="J77" s="77">
        <v>385.6</v>
      </c>
      <c r="K77" s="76">
        <v>0.94199999999999995</v>
      </c>
      <c r="L77" s="76">
        <v>0.63109999999999999</v>
      </c>
      <c r="M77" s="75">
        <f t="shared" si="18"/>
        <v>5.2614806999999999</v>
      </c>
      <c r="N77" s="75">
        <f t="shared" si="19"/>
        <v>13.713059899659044</v>
      </c>
      <c r="O77" s="86">
        <v>2.4910999999999999</v>
      </c>
      <c r="P77" s="86">
        <f t="shared" si="20"/>
        <v>5.2595239051021645</v>
      </c>
      <c r="Q77" s="83">
        <v>0.39900000000000002</v>
      </c>
      <c r="R77" s="10">
        <v>0.54800000000000004</v>
      </c>
      <c r="S77" s="83">
        <v>4008</v>
      </c>
      <c r="T77" s="10">
        <v>110071</v>
      </c>
      <c r="U77" s="83">
        <f t="shared" si="21"/>
        <v>1.5963190448698501E-2</v>
      </c>
      <c r="AC77" s="5">
        <f t="shared" si="16"/>
        <v>3.1874212004147449</v>
      </c>
      <c r="AD77" s="5">
        <f t="shared" si="16"/>
        <v>4.2812017648014988</v>
      </c>
      <c r="AE77" s="5">
        <f t="shared" si="16"/>
        <v>0.6880581723948338</v>
      </c>
      <c r="AF77" s="5">
        <f t="shared" si="16"/>
        <v>-8.9021253495526782</v>
      </c>
      <c r="AG77" s="5">
        <f t="shared" si="16"/>
        <v>21.584926037375013</v>
      </c>
      <c r="AH77" s="5">
        <f t="shared" si="16"/>
        <v>17.034685796176433</v>
      </c>
      <c r="AI77" s="5">
        <f t="shared" si="16"/>
        <v>4.1614818516592836E-2</v>
      </c>
      <c r="AJ77" s="5">
        <f t="shared" si="16"/>
        <v>2.7880161322528386E-2</v>
      </c>
      <c r="AK77" s="5">
        <f t="shared" si="16"/>
        <v>0.23243690494591915</v>
      </c>
      <c r="AL77" s="5">
        <f t="shared" si="16"/>
        <v>0.60580307752810814</v>
      </c>
      <c r="AM77" s="5">
        <f t="shared" si="16"/>
        <v>0.11004954820242506</v>
      </c>
      <c r="AN77" s="5">
        <f t="shared" si="16"/>
        <v>0.2323504594421531</v>
      </c>
      <c r="AO77" s="5">
        <f t="shared" si="16"/>
        <v>1.7626658798429451E-2</v>
      </c>
      <c r="AP77" s="5">
        <f t="shared" si="16"/>
        <v>2.420904516676526E-2</v>
      </c>
      <c r="AQ77" s="5">
        <f t="shared" si="16"/>
        <v>177.06177559926124</v>
      </c>
      <c r="AR77" s="5">
        <f t="shared" si="16"/>
        <v>4862.6164426113482</v>
      </c>
    </row>
    <row r="78" spans="1:44" x14ac:dyDescent="0.25">
      <c r="B78" s="10" t="s">
        <v>194</v>
      </c>
      <c r="C78" s="98">
        <f t="shared" si="17"/>
        <v>1.1842046067061207E-2</v>
      </c>
      <c r="D78" s="10" t="s">
        <v>195</v>
      </c>
      <c r="E78" s="75">
        <v>86.177999999999997</v>
      </c>
      <c r="F78" s="75">
        <v>155.72999999999999</v>
      </c>
      <c r="G78" s="10">
        <v>4.96</v>
      </c>
      <c r="H78" s="77">
        <v>-139.58000000000001</v>
      </c>
      <c r="I78" s="77">
        <v>710.4</v>
      </c>
      <c r="J78" s="77">
        <v>453.6</v>
      </c>
      <c r="K78" s="76">
        <v>0.91</v>
      </c>
      <c r="L78" s="76">
        <v>0.66400000000000003</v>
      </c>
      <c r="M78" s="75">
        <f t="shared" si="18"/>
        <v>5.535768</v>
      </c>
      <c r="N78" s="75">
        <f t="shared" si="19"/>
        <v>15.567487654829465</v>
      </c>
      <c r="O78" s="86">
        <v>2.9752999999999998</v>
      </c>
      <c r="P78" s="86">
        <f t="shared" si="20"/>
        <v>4.4035895539945553</v>
      </c>
      <c r="Q78" s="83">
        <v>0.38569999999999999</v>
      </c>
      <c r="R78" s="10">
        <v>0.53320000000000001</v>
      </c>
      <c r="S78" s="83">
        <v>4756</v>
      </c>
      <c r="T78" s="10">
        <v>115055</v>
      </c>
      <c r="U78" s="83">
        <f t="shared" si="21"/>
        <v>4.8577313822634298E-3</v>
      </c>
      <c r="AC78" s="5">
        <f t="shared" si="16"/>
        <v>1.0205238459672008</v>
      </c>
      <c r="AD78" s="5">
        <f t="shared" si="16"/>
        <v>1.8441618340234418</v>
      </c>
      <c r="AE78" s="5">
        <f t="shared" si="16"/>
        <v>5.8736548492623587E-2</v>
      </c>
      <c r="AF78" s="5">
        <f t="shared" si="16"/>
        <v>-1.6529127900404035</v>
      </c>
      <c r="AG78" s="5">
        <f t="shared" si="16"/>
        <v>8.4125895260402821</v>
      </c>
      <c r="AH78" s="5">
        <f t="shared" si="16"/>
        <v>5.3715520960189638</v>
      </c>
      <c r="AI78" s="5">
        <f t="shared" si="16"/>
        <v>1.0776261921025699E-2</v>
      </c>
      <c r="AJ78" s="5">
        <f t="shared" si="16"/>
        <v>7.863118588528643E-3</v>
      </c>
      <c r="AK78" s="5">
        <f t="shared" si="16"/>
        <v>6.5554819672563283E-2</v>
      </c>
      <c r="AL78" s="5">
        <f t="shared" si="16"/>
        <v>0.18435090595689715</v>
      </c>
      <c r="AM78" s="5">
        <f t="shared" si="16"/>
        <v>3.523363966332721E-2</v>
      </c>
      <c r="AN78" s="5">
        <f t="shared" si="16"/>
        <v>5.2147510358833041E-2</v>
      </c>
      <c r="AO78" s="5">
        <f t="shared" si="16"/>
        <v>4.5674771680655072E-3</v>
      </c>
      <c r="AP78" s="5">
        <f t="shared" si="16"/>
        <v>6.3141789629570363E-3</v>
      </c>
      <c r="AQ78" s="5">
        <f t="shared" si="16"/>
        <v>56.320771094943105</v>
      </c>
      <c r="AR78" s="5">
        <f t="shared" si="16"/>
        <v>1362.4866102457272</v>
      </c>
    </row>
    <row r="79" spans="1:44" x14ac:dyDescent="0.25">
      <c r="B79" s="10" t="s">
        <v>196</v>
      </c>
      <c r="C79" s="98">
        <f t="shared" si="17"/>
        <v>1.5327334223683396E-3</v>
      </c>
      <c r="D79" s="10" t="s">
        <v>197</v>
      </c>
      <c r="E79" s="75">
        <v>78.114000000000004</v>
      </c>
      <c r="F79" s="75">
        <v>176.16</v>
      </c>
      <c r="G79" s="10">
        <v>3.2250000000000001</v>
      </c>
      <c r="H79" s="77">
        <v>41.96</v>
      </c>
      <c r="I79" s="77">
        <v>710.4</v>
      </c>
      <c r="J79" s="77">
        <v>552.22</v>
      </c>
      <c r="K79" s="76">
        <v>0.92900000000000005</v>
      </c>
      <c r="L79" s="76">
        <v>0.88449999999999995</v>
      </c>
      <c r="M79" s="75">
        <f t="shared" si="18"/>
        <v>7.3740764999999993</v>
      </c>
      <c r="N79" s="75">
        <f t="shared" si="19"/>
        <v>10.593055279532292</v>
      </c>
      <c r="O79" s="86">
        <v>2.6968999999999999</v>
      </c>
      <c r="P79" s="86">
        <f t="shared" si="20"/>
        <v>4.8581704920464244</v>
      </c>
      <c r="Q79" s="83">
        <v>0.2422</v>
      </c>
      <c r="R79" s="10">
        <v>0.4098</v>
      </c>
      <c r="S79" s="83">
        <v>3741</v>
      </c>
      <c r="T79" s="10">
        <v>132651</v>
      </c>
      <c r="U79" s="83">
        <f t="shared" si="21"/>
        <v>4.2783477923411168E-4</v>
      </c>
      <c r="AC79" s="5">
        <f t="shared" si="16"/>
        <v>0.11972793855488048</v>
      </c>
      <c r="AD79" s="5">
        <f t="shared" si="16"/>
        <v>0.27000631968440669</v>
      </c>
      <c r="AE79" s="5">
        <f t="shared" si="16"/>
        <v>4.943065287137895E-3</v>
      </c>
      <c r="AF79" s="5">
        <f t="shared" si="16"/>
        <v>6.4313494402575527E-2</v>
      </c>
      <c r="AG79" s="5">
        <f t="shared" si="16"/>
        <v>1.0888538232504685</v>
      </c>
      <c r="AH79" s="5">
        <f t="shared" si="16"/>
        <v>0.84640605050024453</v>
      </c>
      <c r="AI79" s="5">
        <f t="shared" si="16"/>
        <v>1.4239093493801877E-3</v>
      </c>
      <c r="AJ79" s="5">
        <f t="shared" si="16"/>
        <v>1.3557027120847964E-3</v>
      </c>
      <c r="AK79" s="5">
        <f t="shared" si="16"/>
        <v>1.1302493510650947E-2</v>
      </c>
      <c r="AL79" s="5">
        <f t="shared" si="16"/>
        <v>1.6236329871934539E-2</v>
      </c>
      <c r="AM79" s="5">
        <f t="shared" si="16"/>
        <v>4.1336287667851747E-3</v>
      </c>
      <c r="AN79" s="5">
        <f t="shared" si="16"/>
        <v>7.4462802847231968E-3</v>
      </c>
      <c r="AO79" s="5">
        <f t="shared" si="16"/>
        <v>3.7122803489761185E-4</v>
      </c>
      <c r="AP79" s="5">
        <f t="shared" si="16"/>
        <v>6.2811415648654555E-4</v>
      </c>
      <c r="AQ79" s="5">
        <f t="shared" si="16"/>
        <v>5.7339557330799584</v>
      </c>
      <c r="AR79" s="5">
        <f t="shared" si="16"/>
        <v>203.31862121058262</v>
      </c>
    </row>
    <row r="80" spans="1:44" x14ac:dyDescent="0.25">
      <c r="B80" s="10" t="s">
        <v>198</v>
      </c>
      <c r="C80" s="98">
        <f t="shared" si="17"/>
        <v>1.5327334223683396E-3</v>
      </c>
      <c r="D80" s="10" t="s">
        <v>199</v>
      </c>
      <c r="E80" s="75">
        <v>92.141000000000005</v>
      </c>
      <c r="F80" s="75">
        <v>231.13</v>
      </c>
      <c r="G80" s="10">
        <v>1.0029999999999999</v>
      </c>
      <c r="H80" s="77">
        <v>-138.97999999999999</v>
      </c>
      <c r="I80" s="77">
        <v>595.5</v>
      </c>
      <c r="J80" s="77">
        <v>605.57000000000005</v>
      </c>
      <c r="K80" s="76">
        <v>0.90300000000000002</v>
      </c>
      <c r="L80" s="76">
        <v>0.87190000000000001</v>
      </c>
      <c r="M80" s="75">
        <f t="shared" si="18"/>
        <v>7.2690302999999998</v>
      </c>
      <c r="N80" s="75">
        <f t="shared" si="19"/>
        <v>12.675831052733404</v>
      </c>
      <c r="O80" s="86">
        <v>3.1812</v>
      </c>
      <c r="P80" s="86">
        <f t="shared" si="20"/>
        <v>4.118571608198164</v>
      </c>
      <c r="Q80" s="83">
        <v>0.25979999999999998</v>
      </c>
      <c r="R80" s="10">
        <v>0.40089999999999998</v>
      </c>
      <c r="S80" s="83">
        <v>4475</v>
      </c>
      <c r="T80" s="10">
        <v>132659</v>
      </c>
      <c r="U80" s="83">
        <f t="shared" si="21"/>
        <v>5.1195441135227788E-4</v>
      </c>
      <c r="AC80" s="5">
        <f t="shared" si="16"/>
        <v>0.14122759027044118</v>
      </c>
      <c r="AD80" s="5">
        <f t="shared" si="16"/>
        <v>0.35426067591199434</v>
      </c>
      <c r="AE80" s="5">
        <f t="shared" si="16"/>
        <v>1.5373316226354446E-3</v>
      </c>
      <c r="AF80" s="5">
        <f t="shared" si="16"/>
        <v>-0.21301929104075182</v>
      </c>
      <c r="AG80" s="5">
        <f t="shared" si="16"/>
        <v>0.91274275302034624</v>
      </c>
      <c r="AH80" s="5">
        <f t="shared" si="16"/>
        <v>0.9281773785835955</v>
      </c>
      <c r="AI80" s="5">
        <f t="shared" si="16"/>
        <v>1.3840582803986107E-3</v>
      </c>
      <c r="AJ80" s="5">
        <f t="shared" si="16"/>
        <v>1.3363902709629554E-3</v>
      </c>
      <c r="AK80" s="5">
        <f t="shared" si="16"/>
        <v>1.1141485689018158E-2</v>
      </c>
      <c r="AL80" s="5">
        <f t="shared" si="16"/>
        <v>1.9428669910818944E-2</v>
      </c>
      <c r="AM80" s="5">
        <f t="shared" si="16"/>
        <v>4.8759315632381619E-3</v>
      </c>
      <c r="AN80" s="5">
        <f t="shared" si="16"/>
        <v>6.3126723563026481E-3</v>
      </c>
      <c r="AO80" s="5">
        <f t="shared" si="16"/>
        <v>3.9820414313129462E-4</v>
      </c>
      <c r="AP80" s="5">
        <f t="shared" si="16"/>
        <v>6.1447282902746736E-4</v>
      </c>
      <c r="AQ80" s="5">
        <f t="shared" si="16"/>
        <v>6.8589820650983198</v>
      </c>
      <c r="AR80" s="5">
        <f t="shared" si="16"/>
        <v>203.33088307796157</v>
      </c>
    </row>
    <row r="81" spans="2:44" x14ac:dyDescent="0.25">
      <c r="B81" s="10" t="s">
        <v>200</v>
      </c>
      <c r="C81" s="98">
        <f t="shared" si="17"/>
        <v>1.5327334223683396E-3</v>
      </c>
      <c r="D81" s="10" t="s">
        <v>201</v>
      </c>
      <c r="E81" s="75">
        <v>106.16800000000001</v>
      </c>
      <c r="F81" s="75">
        <v>277.16000000000003</v>
      </c>
      <c r="G81" s="10">
        <v>0.37159999999999999</v>
      </c>
      <c r="H81" s="77">
        <v>-138.96</v>
      </c>
      <c r="I81" s="77">
        <v>523.4</v>
      </c>
      <c r="J81" s="77">
        <v>651.29</v>
      </c>
      <c r="K81" s="76"/>
      <c r="L81" s="76">
        <v>0.87170000000000003</v>
      </c>
      <c r="M81" s="75">
        <f t="shared" si="18"/>
        <v>7.2673629000000002</v>
      </c>
      <c r="N81" s="75">
        <f t="shared" si="19"/>
        <v>14.608875524848223</v>
      </c>
      <c r="O81" s="86">
        <v>3.6655000000000002</v>
      </c>
      <c r="P81" s="86">
        <f t="shared" si="20"/>
        <v>3.5744100395580412</v>
      </c>
      <c r="Q81" s="83">
        <v>0.27950000000000003</v>
      </c>
      <c r="R81" s="10">
        <v>0.4113</v>
      </c>
      <c r="S81" s="83">
        <v>5222</v>
      </c>
      <c r="T81" s="10">
        <v>134381</v>
      </c>
      <c r="U81" s="83">
        <f t="shared" si="21"/>
        <v>5.9002666087361506E-4</v>
      </c>
      <c r="AC81" s="5">
        <f t="shared" si="16"/>
        <v>0.16272724198600189</v>
      </c>
      <c r="AD81" s="5">
        <f t="shared" si="16"/>
        <v>0.42481239534360904</v>
      </c>
      <c r="AE81" s="5">
        <f t="shared" si="16"/>
        <v>5.6956373975207495E-4</v>
      </c>
      <c r="AF81" s="5">
        <f t="shared" si="16"/>
        <v>-0.21298863637230447</v>
      </c>
      <c r="AG81" s="5">
        <f t="shared" si="16"/>
        <v>0.80223267326758896</v>
      </c>
      <c r="AH81" s="5">
        <f t="shared" si="16"/>
        <v>0.9982539506542758</v>
      </c>
      <c r="AI81" s="5">
        <f t="shared" si="16"/>
        <v>0</v>
      </c>
      <c r="AJ81" s="5">
        <f t="shared" si="16"/>
        <v>1.3360837242784817E-3</v>
      </c>
      <c r="AK81" s="5">
        <f t="shared" si="16"/>
        <v>1.1138930009309702E-2</v>
      </c>
      <c r="AL81" s="5">
        <f t="shared" si="16"/>
        <v>2.2391511780153691E-2</v>
      </c>
      <c r="AM81" s="5">
        <f t="shared" si="16"/>
        <v>5.618234359691149E-3</v>
      </c>
      <c r="AN81" s="5">
        <f t="shared" si="16"/>
        <v>5.4786177328795486E-3</v>
      </c>
      <c r="AO81" s="5">
        <f t="shared" si="16"/>
        <v>4.2839899155195098E-4</v>
      </c>
      <c r="AP81" s="5">
        <f t="shared" si="16"/>
        <v>6.3041325662009813E-4</v>
      </c>
      <c r="AQ81" s="5">
        <f t="shared" si="16"/>
        <v>8.0039339316074702</v>
      </c>
      <c r="AR81" s="5">
        <f t="shared" si="16"/>
        <v>205.97025003127985</v>
      </c>
    </row>
    <row r="82" spans="2:44" x14ac:dyDescent="0.25">
      <c r="B82" s="10" t="s">
        <v>202</v>
      </c>
      <c r="C82" s="98">
        <f t="shared" si="17"/>
        <v>1.5327334223683396E-3</v>
      </c>
      <c r="D82" s="10" t="s">
        <v>203</v>
      </c>
      <c r="E82" s="75">
        <v>106.16800000000001</v>
      </c>
      <c r="F82" s="75">
        <v>291.97000000000003</v>
      </c>
      <c r="G82" s="10">
        <v>0.26429999999999998</v>
      </c>
      <c r="H82" s="77">
        <v>-13.32</v>
      </c>
      <c r="I82" s="77">
        <v>541.6</v>
      </c>
      <c r="J82" s="77">
        <v>674.92</v>
      </c>
      <c r="K82" s="76"/>
      <c r="L82" s="76">
        <v>0.88470000000000004</v>
      </c>
      <c r="M82" s="75">
        <f t="shared" si="18"/>
        <v>7.3757438999999998</v>
      </c>
      <c r="N82" s="75">
        <f t="shared" si="19"/>
        <v>14.394209104792807</v>
      </c>
      <c r="O82" s="86">
        <v>3.6655000000000002</v>
      </c>
      <c r="P82" s="86">
        <f t="shared" si="20"/>
        <v>3.5744100395580412</v>
      </c>
      <c r="Q82" s="83">
        <v>0.29139999999999999</v>
      </c>
      <c r="R82" s="10">
        <v>0.41610000000000003</v>
      </c>
      <c r="S82" s="83">
        <v>5209</v>
      </c>
      <c r="T82" s="10">
        <v>136036</v>
      </c>
      <c r="U82" s="83">
        <f t="shared" si="21"/>
        <v>5.8135666359616846E-4</v>
      </c>
      <c r="AC82" s="5">
        <f t="shared" si="16"/>
        <v>0.16272724198600189</v>
      </c>
      <c r="AD82" s="5">
        <f t="shared" si="16"/>
        <v>0.44751217732888415</v>
      </c>
      <c r="AE82" s="5">
        <f t="shared" si="16"/>
        <v>4.0510144353195216E-4</v>
      </c>
      <c r="AF82" s="5">
        <f t="shared" si="16"/>
        <v>-2.0416009185946285E-2</v>
      </c>
      <c r="AG82" s="5">
        <f t="shared" si="16"/>
        <v>0.8301284215546928</v>
      </c>
      <c r="AH82" s="5">
        <f t="shared" si="16"/>
        <v>1.0344724414248396</v>
      </c>
      <c r="AI82" s="5">
        <f t="shared" si="16"/>
        <v>0</v>
      </c>
      <c r="AJ82" s="5">
        <f t="shared" si="16"/>
        <v>1.3560092587692702E-3</v>
      </c>
      <c r="AK82" s="5">
        <f t="shared" si="16"/>
        <v>1.1305049190359405E-2</v>
      </c>
      <c r="AL82" s="5">
        <f t="shared" si="16"/>
        <v>2.2062485383474592E-2</v>
      </c>
      <c r="AM82" s="5">
        <f t="shared" si="16"/>
        <v>5.618234359691149E-3</v>
      </c>
      <c r="AN82" s="5">
        <f t="shared" si="16"/>
        <v>5.4786177328795486E-3</v>
      </c>
      <c r="AO82" s="5">
        <f t="shared" si="16"/>
        <v>4.4663851927813418E-4</v>
      </c>
      <c r="AP82" s="5">
        <f t="shared" si="16"/>
        <v>6.3777037704746613E-4</v>
      </c>
      <c r="AQ82" s="5">
        <f t="shared" si="16"/>
        <v>7.9840083971166811</v>
      </c>
      <c r="AR82" s="5">
        <f t="shared" si="16"/>
        <v>208.50692384529944</v>
      </c>
    </row>
    <row r="83" spans="2:44" x14ac:dyDescent="0.25">
      <c r="B83" s="10" t="s">
        <v>2</v>
      </c>
      <c r="C83" s="98">
        <f t="shared" si="17"/>
        <v>0</v>
      </c>
      <c r="D83" s="10" t="s">
        <v>204</v>
      </c>
      <c r="E83" s="75">
        <v>18.015000000000001</v>
      </c>
      <c r="F83" s="75">
        <v>212</v>
      </c>
      <c r="G83" s="10">
        <v>0.94950000000000001</v>
      </c>
      <c r="H83" s="77">
        <v>32</v>
      </c>
      <c r="I83" s="77">
        <v>3207.9</v>
      </c>
      <c r="J83" s="77">
        <v>705.5</v>
      </c>
      <c r="K83" s="76">
        <v>0.34339999999999998</v>
      </c>
      <c r="L83" s="76">
        <v>1</v>
      </c>
      <c r="M83" s="75">
        <v>8.3369999999999997</v>
      </c>
      <c r="N83" s="75">
        <f t="shared" si="19"/>
        <v>2.1608492263404102</v>
      </c>
      <c r="O83" s="86">
        <v>21.06</v>
      </c>
      <c r="P83" s="86">
        <f t="shared" si="20"/>
        <v>0.62212725546058889</v>
      </c>
      <c r="Q83" s="83">
        <v>0.44469999999999998</v>
      </c>
      <c r="R83" s="10">
        <v>1.0009999999999999</v>
      </c>
      <c r="S83" s="83">
        <v>49</v>
      </c>
      <c r="T83" s="10">
        <v>0</v>
      </c>
      <c r="U83" s="83"/>
      <c r="AC83" s="5">
        <f t="shared" si="16"/>
        <v>0</v>
      </c>
      <c r="AD83" s="5">
        <f t="shared" si="16"/>
        <v>0</v>
      </c>
      <c r="AE83" s="5">
        <f t="shared" si="16"/>
        <v>0</v>
      </c>
      <c r="AF83" s="5">
        <f t="shared" si="16"/>
        <v>0</v>
      </c>
      <c r="AG83" s="5">
        <f t="shared" si="16"/>
        <v>0</v>
      </c>
      <c r="AH83" s="5">
        <f t="shared" si="16"/>
        <v>0</v>
      </c>
      <c r="AI83" s="5">
        <f t="shared" si="16"/>
        <v>0</v>
      </c>
      <c r="AJ83" s="5">
        <f t="shared" si="16"/>
        <v>0</v>
      </c>
      <c r="AK83" s="5">
        <f t="shared" si="16"/>
        <v>0</v>
      </c>
      <c r="AL83" s="5">
        <f t="shared" si="16"/>
        <v>0</v>
      </c>
      <c r="AM83" s="5">
        <f t="shared" si="16"/>
        <v>0</v>
      </c>
      <c r="AN83" s="5">
        <f t="shared" si="16"/>
        <v>0</v>
      </c>
      <c r="AO83" s="5">
        <f t="shared" si="16"/>
        <v>0</v>
      </c>
      <c r="AP83" s="5">
        <f t="shared" si="16"/>
        <v>0</v>
      </c>
      <c r="AQ83" s="5">
        <f t="shared" si="16"/>
        <v>0</v>
      </c>
      <c r="AR83" s="5">
        <f>T83*$C83</f>
        <v>0</v>
      </c>
    </row>
    <row r="84" spans="2:44" x14ac:dyDescent="0.25">
      <c r="B84" s="10" t="s">
        <v>205</v>
      </c>
      <c r="C84" s="98">
        <f>SUM(C68:C83)</f>
        <v>1.0000000000000004</v>
      </c>
      <c r="D84" s="10"/>
      <c r="E84" s="75">
        <f>AC84</f>
        <v>41.957111869257737</v>
      </c>
      <c r="F84" s="75">
        <f t="shared" ref="F84:T84" si="22">AD84</f>
        <v>-65.528560969547712</v>
      </c>
      <c r="G84" s="75">
        <f t="shared" si="22"/>
        <v>533.7336276864437</v>
      </c>
      <c r="H84" s="75">
        <f t="shared" si="22"/>
        <v>-279.32557486454652</v>
      </c>
      <c r="I84" s="75">
        <f t="shared" si="22"/>
        <v>649.192032753121</v>
      </c>
      <c r="J84" s="75">
        <f t="shared" si="22"/>
        <v>173.0550008294083</v>
      </c>
      <c r="K84" s="75">
        <f t="shared" si="22"/>
        <v>0.97776170789543182</v>
      </c>
      <c r="L84" s="75">
        <f t="shared" si="22"/>
        <v>0.45945659332652944</v>
      </c>
      <c r="M84" s="75">
        <f t="shared" si="22"/>
        <v>3.8304896185632762</v>
      </c>
      <c r="N84" s="75">
        <f t="shared" si="22"/>
        <v>10.777853731939407</v>
      </c>
      <c r="O84" s="84">
        <f t="shared" si="22"/>
        <v>1.5486079593054058</v>
      </c>
      <c r="P84" s="84">
        <f t="shared" si="22"/>
        <v>10.077594578984455</v>
      </c>
      <c r="Q84" s="84">
        <f t="shared" si="22"/>
        <v>0.39734181111837019</v>
      </c>
      <c r="R84" s="75">
        <f t="shared" si="22"/>
        <v>0.71686950356420109</v>
      </c>
      <c r="S84" s="84">
        <f t="shared" si="22"/>
        <v>2342.3811580824413</v>
      </c>
      <c r="T84" s="75">
        <f t="shared" si="22"/>
        <v>79296.47132447784</v>
      </c>
      <c r="U84" s="84">
        <f>SUM(U72:U82)</f>
        <v>0.27799358095849996</v>
      </c>
      <c r="V84" s="66"/>
      <c r="W84" s="66"/>
      <c r="X84" s="66"/>
      <c r="Y84" s="66"/>
      <c r="Z84" s="66"/>
      <c r="AA84" s="66"/>
      <c r="AC84" s="5">
        <f>SUM(AC68:AC83)</f>
        <v>41.957111869257737</v>
      </c>
      <c r="AD84" s="5">
        <f t="shared" ref="AD84:AR84" si="23">SUM(AD68:AD83)</f>
        <v>-65.528560969547712</v>
      </c>
      <c r="AE84" s="5">
        <f t="shared" si="23"/>
        <v>533.7336276864437</v>
      </c>
      <c r="AF84" s="5">
        <f t="shared" si="23"/>
        <v>-279.32557486454652</v>
      </c>
      <c r="AG84" s="5">
        <f t="shared" si="23"/>
        <v>649.192032753121</v>
      </c>
      <c r="AH84" s="5">
        <f t="shared" si="23"/>
        <v>173.0550008294083</v>
      </c>
      <c r="AI84" s="5">
        <f t="shared" si="23"/>
        <v>0.97776170789543182</v>
      </c>
      <c r="AJ84" s="5">
        <f t="shared" si="23"/>
        <v>0.45945659332652944</v>
      </c>
      <c r="AK84" s="5">
        <f t="shared" si="23"/>
        <v>3.8304896185632762</v>
      </c>
      <c r="AL84" s="5">
        <f t="shared" si="23"/>
        <v>10.777853731939407</v>
      </c>
      <c r="AM84" s="5">
        <f t="shared" si="23"/>
        <v>1.5486079593054058</v>
      </c>
      <c r="AN84" s="5">
        <f t="shared" si="23"/>
        <v>10.077594578984455</v>
      </c>
      <c r="AO84" s="5">
        <f t="shared" si="23"/>
        <v>0.39734181111837019</v>
      </c>
      <c r="AP84" s="5">
        <f t="shared" si="23"/>
        <v>0.71686950356420109</v>
      </c>
      <c r="AQ84" s="5">
        <f t="shared" si="23"/>
        <v>2342.3811580824413</v>
      </c>
      <c r="AR84" s="5">
        <f t="shared" si="23"/>
        <v>79296.47132447784</v>
      </c>
    </row>
  </sheetData>
  <mergeCells count="6">
    <mergeCell ref="L2:N2"/>
    <mergeCell ref="O2:P2"/>
    <mergeCell ref="L45:N45"/>
    <mergeCell ref="O45:P45"/>
    <mergeCell ref="L66:N66"/>
    <mergeCell ref="O66:P6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E41"/>
  <sheetViews>
    <sheetView workbookViewId="0">
      <selection activeCell="S50" sqref="S50"/>
    </sheetView>
  </sheetViews>
  <sheetFormatPr defaultRowHeight="15" x14ac:dyDescent="0.25"/>
  <cols>
    <col min="6" max="6" width="10.7109375" customWidth="1"/>
    <col min="21" max="21" width="11" bestFit="1" customWidth="1"/>
  </cols>
  <sheetData>
    <row r="1" spans="4:15" ht="21" x14ac:dyDescent="0.35">
      <c r="D1" s="88" t="s">
        <v>215</v>
      </c>
    </row>
    <row r="2" spans="4:15" x14ac:dyDescent="0.25">
      <c r="D2" t="s">
        <v>216</v>
      </c>
    </row>
    <row r="4" spans="4:15" x14ac:dyDescent="0.25">
      <c r="E4" t="s">
        <v>217</v>
      </c>
      <c r="F4" s="89" t="s">
        <v>218</v>
      </c>
      <c r="G4" s="89" t="s">
        <v>219</v>
      </c>
    </row>
    <row r="5" spans="4:15" x14ac:dyDescent="0.25">
      <c r="F5" s="271">
        <f>'Prop Est'!U12+'Prop Est'!U13</f>
        <v>0.5376145313449634</v>
      </c>
      <c r="G5" s="271">
        <f>'Prop Est'!U14+'Prop Est'!U15+'Prop Est'!U16+'Prop Est'!U17+'Prop Est'!U18</f>
        <v>0.13640148630447621</v>
      </c>
      <c r="I5" t="s">
        <v>220</v>
      </c>
      <c r="M5" t="s">
        <v>535</v>
      </c>
      <c r="N5" s="233" t="s">
        <v>536</v>
      </c>
    </row>
    <row r="6" spans="4:15" x14ac:dyDescent="0.25">
      <c r="M6" s="234" t="s">
        <v>535</v>
      </c>
      <c r="N6" s="236">
        <f>X36*E14+X37*E14^0.5+X35</f>
        <v>70.667096381302514</v>
      </c>
      <c r="O6" t="s">
        <v>168</v>
      </c>
    </row>
    <row r="7" spans="4:15" x14ac:dyDescent="0.25">
      <c r="E7" t="s">
        <v>221</v>
      </c>
      <c r="F7" t="s">
        <v>222</v>
      </c>
    </row>
    <row r="9" spans="4:15" x14ac:dyDescent="0.25">
      <c r="E9" s="89" t="s">
        <v>160</v>
      </c>
      <c r="F9" s="89" t="s">
        <v>223</v>
      </c>
      <c r="G9" s="89" t="s">
        <v>224</v>
      </c>
      <c r="H9" s="89" t="s">
        <v>225</v>
      </c>
    </row>
    <row r="10" spans="4:15" x14ac:dyDescent="0.25">
      <c r="D10" t="s">
        <v>226</v>
      </c>
      <c r="E10" s="89">
        <f>F10*($F$5)^G10*($G$5)^H10</f>
        <v>0.11497379266048054</v>
      </c>
      <c r="F10" s="89">
        <v>0.64559999999999995</v>
      </c>
      <c r="G10" s="89">
        <v>0.22</v>
      </c>
      <c r="H10" s="89">
        <v>0.79759999999999998</v>
      </c>
    </row>
    <row r="11" spans="4:15" x14ac:dyDescent="0.25">
      <c r="D11" t="s">
        <v>227</v>
      </c>
      <c r="E11" s="89">
        <f>F11*($F$5)^G11*($G$5)^H11</f>
        <v>4.1461091366772673E-2</v>
      </c>
      <c r="F11" s="89">
        <v>0.50439999999999996</v>
      </c>
      <c r="G11" s="89">
        <v>-0.26729999999999998</v>
      </c>
      <c r="H11" s="89">
        <v>1.3374999999999999</v>
      </c>
    </row>
    <row r="12" spans="4:15" x14ac:dyDescent="0.25">
      <c r="D12" t="s">
        <v>228</v>
      </c>
      <c r="E12" s="89">
        <f>F12*($F$5)^G12*($G$5)^H12</f>
        <v>2.2549668585197789E-3</v>
      </c>
      <c r="F12" s="89">
        <v>7.0139999999999994E-2</v>
      </c>
      <c r="G12" s="89">
        <v>-1.0097</v>
      </c>
      <c r="H12" s="89">
        <v>2.04</v>
      </c>
    </row>
    <row r="13" spans="4:15" x14ac:dyDescent="0.25">
      <c r="D13" t="s">
        <v>229</v>
      </c>
      <c r="E13" s="89">
        <f>F13*($F$5)^G13*($G$5)^H13</f>
        <v>1.2428362374459072E-4</v>
      </c>
      <c r="F13" s="89">
        <v>6.149E-3</v>
      </c>
      <c r="G13" s="89">
        <v>-1.5176000000000001</v>
      </c>
      <c r="H13" s="89">
        <v>2.4312</v>
      </c>
    </row>
    <row r="14" spans="4:15" x14ac:dyDescent="0.25">
      <c r="D14" s="234" t="s">
        <v>230</v>
      </c>
      <c r="E14" s="235">
        <f>SUM(E10:E13)</f>
        <v>0.15881413450951756</v>
      </c>
    </row>
    <row r="16" spans="4:15" x14ac:dyDescent="0.25">
      <c r="K16" s="89"/>
      <c r="L16" s="89"/>
    </row>
    <row r="17" spans="1:28" x14ac:dyDescent="0.25">
      <c r="B17" t="s">
        <v>160</v>
      </c>
      <c r="J17" s="89" t="s">
        <v>231</v>
      </c>
      <c r="K17" s="89" t="s">
        <v>232</v>
      </c>
    </row>
    <row r="18" spans="1:28" x14ac:dyDescent="0.25">
      <c r="A18" t="s">
        <v>233</v>
      </c>
      <c r="B18" t="s">
        <v>230</v>
      </c>
      <c r="J18" s="89">
        <v>10</v>
      </c>
      <c r="K18" s="89">
        <v>100</v>
      </c>
      <c r="R18" t="s">
        <v>534</v>
      </c>
      <c r="S18" t="s">
        <v>508</v>
      </c>
      <c r="T18" t="s">
        <v>507</v>
      </c>
      <c r="U18" t="s">
        <v>509</v>
      </c>
    </row>
    <row r="19" spans="1:28" x14ac:dyDescent="0.25">
      <c r="A19">
        <v>-50</v>
      </c>
      <c r="B19">
        <v>1E-4</v>
      </c>
      <c r="J19" s="89">
        <v>12</v>
      </c>
      <c r="K19" s="89">
        <v>110</v>
      </c>
      <c r="R19">
        <f>$X$35+$X$36*T19+$X$37*U19</f>
        <v>-57.202856090136976</v>
      </c>
      <c r="S19">
        <f>A19</f>
        <v>-50</v>
      </c>
      <c r="T19">
        <f>B19</f>
        <v>1E-4</v>
      </c>
      <c r="U19">
        <f>T19^0.5</f>
        <v>0.01</v>
      </c>
      <c r="W19" t="s">
        <v>510</v>
      </c>
    </row>
    <row r="20" spans="1:28" ht="15.75" thickBot="1" x14ac:dyDescent="0.3">
      <c r="A20">
        <v>-40</v>
      </c>
      <c r="B20">
        <v>3.0000000000000001E-3</v>
      </c>
      <c r="J20" s="89">
        <v>15</v>
      </c>
      <c r="K20" s="89">
        <v>140</v>
      </c>
      <c r="R20">
        <f t="shared" ref="R20:R32" si="0">$X$35+$X$36*T20+$X$37*U20</f>
        <v>-36.528201758162425</v>
      </c>
      <c r="S20">
        <f t="shared" ref="S20:S32" si="1">A20</f>
        <v>-40</v>
      </c>
      <c r="T20">
        <f t="shared" ref="T20:T32" si="2">B20</f>
        <v>3.0000000000000001E-3</v>
      </c>
      <c r="U20">
        <f t="shared" ref="U20:U32" si="3">T20^0.5</f>
        <v>5.4772255750516613E-2</v>
      </c>
    </row>
    <row r="21" spans="1:28" x14ac:dyDescent="0.25">
      <c r="A21">
        <v>-40</v>
      </c>
      <c r="B21">
        <v>3.0000000000000001E-3</v>
      </c>
      <c r="J21" s="89">
        <v>18</v>
      </c>
      <c r="K21" s="89">
        <v>180</v>
      </c>
      <c r="R21">
        <f t="shared" si="0"/>
        <v>-36.528201758162425</v>
      </c>
      <c r="S21">
        <f t="shared" si="1"/>
        <v>-40</v>
      </c>
      <c r="T21">
        <f t="shared" si="2"/>
        <v>3.0000000000000001E-3</v>
      </c>
      <c r="U21">
        <f t="shared" si="3"/>
        <v>5.4772255750516613E-2</v>
      </c>
      <c r="W21" s="232" t="s">
        <v>511</v>
      </c>
      <c r="X21" s="232"/>
    </row>
    <row r="22" spans="1:28" x14ac:dyDescent="0.25">
      <c r="A22">
        <v>-30</v>
      </c>
      <c r="B22">
        <v>5.0000000000000001E-3</v>
      </c>
      <c r="J22" s="89">
        <v>20</v>
      </c>
      <c r="K22" s="89">
        <v>200</v>
      </c>
      <c r="R22">
        <f t="shared" si="0"/>
        <v>-29.541661281578016</v>
      </c>
      <c r="S22">
        <f t="shared" si="1"/>
        <v>-30</v>
      </c>
      <c r="T22">
        <f t="shared" si="2"/>
        <v>5.0000000000000001E-3</v>
      </c>
      <c r="U22">
        <f t="shared" si="3"/>
        <v>7.0710678118654752E-2</v>
      </c>
      <c r="W22" t="s">
        <v>512</v>
      </c>
      <c r="X22">
        <v>0.99697974464687023</v>
      </c>
    </row>
    <row r="23" spans="1:28" x14ac:dyDescent="0.25">
      <c r="A23">
        <v>-20</v>
      </c>
      <c r="B23">
        <v>0.01</v>
      </c>
      <c r="J23" s="89">
        <v>22</v>
      </c>
      <c r="K23" s="89">
        <v>225</v>
      </c>
      <c r="R23">
        <f t="shared" si="0"/>
        <v>-17.214002356434015</v>
      </c>
      <c r="S23">
        <f t="shared" si="1"/>
        <v>-20</v>
      </c>
      <c r="T23">
        <f t="shared" si="2"/>
        <v>0.01</v>
      </c>
      <c r="U23">
        <f t="shared" si="3"/>
        <v>0.1</v>
      </c>
      <c r="W23" t="s">
        <v>513</v>
      </c>
      <c r="X23">
        <v>0.99396861123613856</v>
      </c>
    </row>
    <row r="24" spans="1:28" x14ac:dyDescent="0.25">
      <c r="A24">
        <v>-10</v>
      </c>
      <c r="B24">
        <v>1.6E-2</v>
      </c>
      <c r="J24" s="89">
        <v>26</v>
      </c>
      <c r="K24" s="89">
        <v>280</v>
      </c>
      <c r="R24">
        <f t="shared" si="0"/>
        <v>-6.634324122942715</v>
      </c>
      <c r="S24">
        <f t="shared" si="1"/>
        <v>-10</v>
      </c>
      <c r="T24">
        <f t="shared" si="2"/>
        <v>1.6E-2</v>
      </c>
      <c r="U24">
        <f t="shared" si="3"/>
        <v>0.12649110640673517</v>
      </c>
      <c r="W24" t="s">
        <v>514</v>
      </c>
      <c r="X24">
        <v>0.99287199509725466</v>
      </c>
    </row>
    <row r="25" spans="1:28" x14ac:dyDescent="0.25">
      <c r="A25">
        <v>0</v>
      </c>
      <c r="B25">
        <v>0.02</v>
      </c>
      <c r="J25" s="89">
        <v>27.5</v>
      </c>
      <c r="K25" s="89">
        <v>330</v>
      </c>
      <c r="R25">
        <f t="shared" si="0"/>
        <v>-0.9103224646223822</v>
      </c>
      <c r="S25">
        <f t="shared" si="1"/>
        <v>0</v>
      </c>
      <c r="T25">
        <f t="shared" si="2"/>
        <v>0.02</v>
      </c>
      <c r="U25">
        <f t="shared" si="3"/>
        <v>0.1414213562373095</v>
      </c>
      <c r="W25" t="s">
        <v>515</v>
      </c>
      <c r="X25">
        <v>3.3544097665894768</v>
      </c>
    </row>
    <row r="26" spans="1:28" ht="15.75" thickBot="1" x14ac:dyDescent="0.3">
      <c r="A26">
        <v>10</v>
      </c>
      <c r="B26">
        <v>0.03</v>
      </c>
      <c r="J26" s="89">
        <v>28.2</v>
      </c>
      <c r="K26" s="89">
        <v>390</v>
      </c>
      <c r="R26">
        <f t="shared" si="0"/>
        <v>10.702055800137174</v>
      </c>
      <c r="S26">
        <f t="shared" si="1"/>
        <v>10</v>
      </c>
      <c r="T26">
        <f t="shared" si="2"/>
        <v>0.03</v>
      </c>
      <c r="U26">
        <f t="shared" si="3"/>
        <v>0.17320508075688773</v>
      </c>
      <c r="W26" s="230" t="s">
        <v>516</v>
      </c>
      <c r="X26" s="230">
        <v>14</v>
      </c>
    </row>
    <row r="27" spans="1:28" x14ac:dyDescent="0.25">
      <c r="A27">
        <v>20</v>
      </c>
      <c r="B27">
        <v>3.6999999999999998E-2</v>
      </c>
      <c r="J27" s="89">
        <v>28.5</v>
      </c>
      <c r="K27" s="89">
        <v>440</v>
      </c>
      <c r="R27">
        <f t="shared" si="0"/>
        <v>17.321810603616598</v>
      </c>
      <c r="S27">
        <f t="shared" si="1"/>
        <v>20</v>
      </c>
      <c r="T27">
        <f t="shared" si="2"/>
        <v>3.6999999999999998E-2</v>
      </c>
      <c r="U27">
        <f t="shared" si="3"/>
        <v>0.19235384061671346</v>
      </c>
    </row>
    <row r="28" spans="1:28" ht="15.75" thickBot="1" x14ac:dyDescent="0.3">
      <c r="A28">
        <v>30</v>
      </c>
      <c r="B28">
        <v>0.05</v>
      </c>
      <c r="J28" s="89">
        <v>27.5</v>
      </c>
      <c r="K28" s="89">
        <v>500</v>
      </c>
      <c r="R28">
        <f t="shared" si="0"/>
        <v>27.518140367704916</v>
      </c>
      <c r="S28">
        <f t="shared" si="1"/>
        <v>30</v>
      </c>
      <c r="T28">
        <f t="shared" si="2"/>
        <v>0.05</v>
      </c>
      <c r="U28">
        <f t="shared" si="3"/>
        <v>0.22360679774997896</v>
      </c>
      <c r="W28" t="s">
        <v>517</v>
      </c>
    </row>
    <row r="29" spans="1:28" x14ac:dyDescent="0.25">
      <c r="A29">
        <v>40</v>
      </c>
      <c r="B29">
        <v>6.5000000000000002E-2</v>
      </c>
      <c r="J29" s="89">
        <v>26.5</v>
      </c>
      <c r="K29" s="89">
        <v>550</v>
      </c>
      <c r="R29">
        <f t="shared" si="0"/>
        <v>36.987082052572376</v>
      </c>
      <c r="S29">
        <f t="shared" si="1"/>
        <v>40</v>
      </c>
      <c r="T29">
        <f t="shared" si="2"/>
        <v>6.5000000000000002E-2</v>
      </c>
      <c r="U29">
        <f t="shared" si="3"/>
        <v>0.25495097567963926</v>
      </c>
      <c r="W29" s="231"/>
      <c r="X29" s="231" t="s">
        <v>521</v>
      </c>
      <c r="Y29" s="231" t="s">
        <v>522</v>
      </c>
      <c r="Z29" s="231" t="s">
        <v>523</v>
      </c>
      <c r="AA29" s="231" t="s">
        <v>168</v>
      </c>
      <c r="AB29" s="231" t="s">
        <v>524</v>
      </c>
    </row>
    <row r="30" spans="1:28" x14ac:dyDescent="0.25">
      <c r="A30">
        <v>50</v>
      </c>
      <c r="B30">
        <v>0.09</v>
      </c>
      <c r="J30" s="89">
        <v>24.5</v>
      </c>
      <c r="K30" s="89">
        <v>610</v>
      </c>
      <c r="R30">
        <f t="shared" si="0"/>
        <v>49.268162185477479</v>
      </c>
      <c r="S30">
        <f t="shared" si="1"/>
        <v>50</v>
      </c>
      <c r="T30">
        <f t="shared" si="2"/>
        <v>0.09</v>
      </c>
      <c r="U30">
        <f t="shared" si="3"/>
        <v>0.3</v>
      </c>
      <c r="W30" t="s">
        <v>518</v>
      </c>
      <c r="X30">
        <v>2</v>
      </c>
      <c r="Y30">
        <v>20397.655857724472</v>
      </c>
      <c r="Z30">
        <v>10198.827928862236</v>
      </c>
      <c r="AA30">
        <v>906.39611801424678</v>
      </c>
      <c r="AB30">
        <v>6.1986237263034121E-13</v>
      </c>
    </row>
    <row r="31" spans="1:28" x14ac:dyDescent="0.25">
      <c r="A31">
        <v>60</v>
      </c>
      <c r="B31">
        <v>0.125</v>
      </c>
      <c r="J31" s="89">
        <v>22.5</v>
      </c>
      <c r="K31" s="89">
        <v>670</v>
      </c>
      <c r="R31">
        <f t="shared" si="0"/>
        <v>61.82994757281287</v>
      </c>
      <c r="S31">
        <f t="shared" si="1"/>
        <v>60</v>
      </c>
      <c r="T31">
        <f t="shared" si="2"/>
        <v>0.125</v>
      </c>
      <c r="U31">
        <f t="shared" si="3"/>
        <v>0.35355339059327379</v>
      </c>
      <c r="W31" t="s">
        <v>519</v>
      </c>
      <c r="X31">
        <v>11</v>
      </c>
      <c r="Y31">
        <v>123.77271370409956</v>
      </c>
      <c r="Z31">
        <v>11.252064882190869</v>
      </c>
    </row>
    <row r="32" spans="1:28" ht="15.75" thickBot="1" x14ac:dyDescent="0.3">
      <c r="A32">
        <v>70</v>
      </c>
      <c r="B32">
        <v>0.16</v>
      </c>
      <c r="J32" s="89">
        <v>21</v>
      </c>
      <c r="K32" s="89">
        <v>720</v>
      </c>
      <c r="R32">
        <f t="shared" si="0"/>
        <v>70.932371249717391</v>
      </c>
      <c r="S32">
        <f t="shared" si="1"/>
        <v>70</v>
      </c>
      <c r="T32">
        <f t="shared" si="2"/>
        <v>0.16</v>
      </c>
      <c r="U32">
        <f t="shared" si="3"/>
        <v>0.4</v>
      </c>
      <c r="W32" s="230" t="s">
        <v>362</v>
      </c>
      <c r="X32" s="230">
        <v>13</v>
      </c>
      <c r="Y32" s="230">
        <v>20521.428571428572</v>
      </c>
      <c r="Z32" s="230"/>
      <c r="AA32" s="230"/>
      <c r="AB32" s="230"/>
    </row>
    <row r="33" spans="10:31" ht="15.75" thickBot="1" x14ac:dyDescent="0.3">
      <c r="J33" s="89">
        <v>18.5</v>
      </c>
      <c r="K33" s="89">
        <v>780</v>
      </c>
    </row>
    <row r="34" spans="10:31" x14ac:dyDescent="0.25">
      <c r="J34" s="89">
        <v>16.5</v>
      </c>
      <c r="K34" s="89">
        <v>830</v>
      </c>
      <c r="W34" s="231"/>
      <c r="X34" s="231" t="s">
        <v>525</v>
      </c>
      <c r="Y34" s="231" t="s">
        <v>515</v>
      </c>
      <c r="Z34" s="231" t="s">
        <v>526</v>
      </c>
      <c r="AA34" s="231" t="s">
        <v>527</v>
      </c>
      <c r="AB34" s="231" t="s">
        <v>528</v>
      </c>
      <c r="AC34" s="231" t="s">
        <v>529</v>
      </c>
      <c r="AD34" s="231" t="s">
        <v>530</v>
      </c>
      <c r="AE34" s="231" t="s">
        <v>531</v>
      </c>
    </row>
    <row r="35" spans="10:31" x14ac:dyDescent="0.25">
      <c r="J35" s="89">
        <v>13</v>
      </c>
      <c r="K35" s="89">
        <v>890</v>
      </c>
      <c r="W35" t="s">
        <v>520</v>
      </c>
      <c r="X35">
        <v>-62.031957834105604</v>
      </c>
      <c r="Y35">
        <v>2.5188543946482254</v>
      </c>
      <c r="Z35">
        <v>-24.627051871638169</v>
      </c>
      <c r="AA35">
        <v>5.673806059708786E-11</v>
      </c>
      <c r="AB35">
        <v>-67.575918977157954</v>
      </c>
      <c r="AC35">
        <v>-56.487996691053254</v>
      </c>
      <c r="AD35">
        <v>-67.575918977157954</v>
      </c>
      <c r="AE35">
        <v>-56.487996691053254</v>
      </c>
    </row>
    <row r="36" spans="10:31" x14ac:dyDescent="0.25">
      <c r="J36" s="89">
        <v>10</v>
      </c>
      <c r="K36" s="89">
        <v>930</v>
      </c>
      <c r="W36" t="s">
        <v>532</v>
      </c>
      <c r="X36">
        <v>-385.89577355719484</v>
      </c>
      <c r="Y36">
        <v>70.726555371412829</v>
      </c>
      <c r="Z36">
        <v>-5.4561652484092447</v>
      </c>
      <c r="AA36">
        <v>1.9897321043093859E-4</v>
      </c>
      <c r="AB36">
        <v>-541.56387235407396</v>
      </c>
      <c r="AC36">
        <v>-230.22767476031567</v>
      </c>
      <c r="AD36">
        <v>-541.56387235407396</v>
      </c>
      <c r="AE36">
        <v>-230.22767476031567</v>
      </c>
    </row>
    <row r="37" spans="10:31" ht="15.75" thickBot="1" x14ac:dyDescent="0.3">
      <c r="K37" s="89"/>
      <c r="L37" s="89"/>
      <c r="W37" s="230" t="s">
        <v>533</v>
      </c>
      <c r="X37" s="230">
        <v>486.7691321324354</v>
      </c>
      <c r="Y37" s="230">
        <v>29.634360315292934</v>
      </c>
      <c r="Z37" s="230">
        <v>16.425835650018609</v>
      </c>
      <c r="AA37" s="230">
        <v>4.3663448909885058E-9</v>
      </c>
      <c r="AB37" s="230">
        <v>421.54434484966708</v>
      </c>
      <c r="AC37" s="230">
        <v>551.99391941520366</v>
      </c>
      <c r="AD37" s="230">
        <v>421.54434484966708</v>
      </c>
      <c r="AE37" s="230">
        <v>551.99391941520366</v>
      </c>
    </row>
    <row r="38" spans="10:31" x14ac:dyDescent="0.25">
      <c r="K38" s="89"/>
      <c r="L38" s="89"/>
    </row>
    <row r="39" spans="10:31" x14ac:dyDescent="0.25">
      <c r="K39" s="89"/>
      <c r="L39" s="89"/>
    </row>
    <row r="40" spans="10:31" x14ac:dyDescent="0.25">
      <c r="K40" s="89"/>
      <c r="L40" s="89"/>
    </row>
    <row r="41" spans="10:31" x14ac:dyDescent="0.25">
      <c r="K41" s="89"/>
      <c r="L41" s="89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C56"/>
  <sheetViews>
    <sheetView workbookViewId="0">
      <selection activeCell="B49" sqref="B49"/>
    </sheetView>
  </sheetViews>
  <sheetFormatPr defaultColWidth="9.140625" defaultRowHeight="15" x14ac:dyDescent="0.25"/>
  <cols>
    <col min="1" max="1" width="11.140625" style="178" customWidth="1"/>
    <col min="2" max="2" width="14.5703125" style="178" customWidth="1"/>
    <col min="3" max="3" width="9.140625" style="178"/>
    <col min="4" max="4" width="15.140625" style="178" customWidth="1"/>
    <col min="5" max="5" width="9.140625" style="178"/>
    <col min="6" max="6" width="16.140625" style="178" customWidth="1"/>
    <col min="7" max="7" width="9.140625" style="178"/>
    <col min="8" max="8" width="16.7109375" style="178" customWidth="1"/>
    <col min="9" max="13" width="9.140625" style="178"/>
    <col min="14" max="14" width="13.42578125" style="178" customWidth="1"/>
    <col min="15" max="19" width="9.140625" style="178"/>
    <col min="20" max="20" width="11.85546875" style="178" customWidth="1"/>
    <col min="21" max="22" width="9.140625" style="178"/>
    <col min="23" max="23" width="16.7109375" style="178" bestFit="1" customWidth="1"/>
    <col min="24" max="25" width="9.140625" style="178"/>
    <col min="26" max="28" width="10.28515625" style="178" customWidth="1"/>
    <col min="29" max="29" width="11.7109375" style="178" customWidth="1"/>
    <col min="30" max="256" width="9.140625" style="178"/>
    <col min="257" max="257" width="11.140625" style="178" customWidth="1"/>
    <col min="258" max="258" width="14.5703125" style="178" customWidth="1"/>
    <col min="259" max="259" width="9.140625" style="178"/>
    <col min="260" max="260" width="15.140625" style="178" customWidth="1"/>
    <col min="261" max="261" width="9.140625" style="178"/>
    <col min="262" max="262" width="16.140625" style="178" customWidth="1"/>
    <col min="263" max="263" width="9.140625" style="178"/>
    <col min="264" max="264" width="16.7109375" style="178" customWidth="1"/>
    <col min="265" max="512" width="9.140625" style="178"/>
    <col min="513" max="513" width="11.140625" style="178" customWidth="1"/>
    <col min="514" max="514" width="14.5703125" style="178" customWidth="1"/>
    <col min="515" max="515" width="9.140625" style="178"/>
    <col min="516" max="516" width="15.140625" style="178" customWidth="1"/>
    <col min="517" max="517" width="9.140625" style="178"/>
    <col min="518" max="518" width="16.140625" style="178" customWidth="1"/>
    <col min="519" max="519" width="9.140625" style="178"/>
    <col min="520" max="520" width="16.7109375" style="178" customWidth="1"/>
    <col min="521" max="768" width="9.140625" style="178"/>
    <col min="769" max="769" width="11.140625" style="178" customWidth="1"/>
    <col min="770" max="770" width="14.5703125" style="178" customWidth="1"/>
    <col min="771" max="771" width="9.140625" style="178"/>
    <col min="772" max="772" width="15.140625" style="178" customWidth="1"/>
    <col min="773" max="773" width="9.140625" style="178"/>
    <col min="774" max="774" width="16.140625" style="178" customWidth="1"/>
    <col min="775" max="775" width="9.140625" style="178"/>
    <col min="776" max="776" width="16.7109375" style="178" customWidth="1"/>
    <col min="777" max="1024" width="9.140625" style="178"/>
    <col min="1025" max="1025" width="11.140625" style="178" customWidth="1"/>
    <col min="1026" max="1026" width="14.5703125" style="178" customWidth="1"/>
    <col min="1027" max="1027" width="9.140625" style="178"/>
    <col min="1028" max="1028" width="15.140625" style="178" customWidth="1"/>
    <col min="1029" max="1029" width="9.140625" style="178"/>
    <col min="1030" max="1030" width="16.140625" style="178" customWidth="1"/>
    <col min="1031" max="1031" width="9.140625" style="178"/>
    <col min="1032" max="1032" width="16.7109375" style="178" customWidth="1"/>
    <col min="1033" max="1280" width="9.140625" style="178"/>
    <col min="1281" max="1281" width="11.140625" style="178" customWidth="1"/>
    <col min="1282" max="1282" width="14.5703125" style="178" customWidth="1"/>
    <col min="1283" max="1283" width="9.140625" style="178"/>
    <col min="1284" max="1284" width="15.140625" style="178" customWidth="1"/>
    <col min="1285" max="1285" width="9.140625" style="178"/>
    <col min="1286" max="1286" width="16.140625" style="178" customWidth="1"/>
    <col min="1287" max="1287" width="9.140625" style="178"/>
    <col min="1288" max="1288" width="16.7109375" style="178" customWidth="1"/>
    <col min="1289" max="1536" width="9.140625" style="178"/>
    <col min="1537" max="1537" width="11.140625" style="178" customWidth="1"/>
    <col min="1538" max="1538" width="14.5703125" style="178" customWidth="1"/>
    <col min="1539" max="1539" width="9.140625" style="178"/>
    <col min="1540" max="1540" width="15.140625" style="178" customWidth="1"/>
    <col min="1541" max="1541" width="9.140625" style="178"/>
    <col min="1542" max="1542" width="16.140625" style="178" customWidth="1"/>
    <col min="1543" max="1543" width="9.140625" style="178"/>
    <col min="1544" max="1544" width="16.7109375" style="178" customWidth="1"/>
    <col min="1545" max="1792" width="9.140625" style="178"/>
    <col min="1793" max="1793" width="11.140625" style="178" customWidth="1"/>
    <col min="1794" max="1794" width="14.5703125" style="178" customWidth="1"/>
    <col min="1795" max="1795" width="9.140625" style="178"/>
    <col min="1796" max="1796" width="15.140625" style="178" customWidth="1"/>
    <col min="1797" max="1797" width="9.140625" style="178"/>
    <col min="1798" max="1798" width="16.140625" style="178" customWidth="1"/>
    <col min="1799" max="1799" width="9.140625" style="178"/>
    <col min="1800" max="1800" width="16.7109375" style="178" customWidth="1"/>
    <col min="1801" max="2048" width="9.140625" style="178"/>
    <col min="2049" max="2049" width="11.140625" style="178" customWidth="1"/>
    <col min="2050" max="2050" width="14.5703125" style="178" customWidth="1"/>
    <col min="2051" max="2051" width="9.140625" style="178"/>
    <col min="2052" max="2052" width="15.140625" style="178" customWidth="1"/>
    <col min="2053" max="2053" width="9.140625" style="178"/>
    <col min="2054" max="2054" width="16.140625" style="178" customWidth="1"/>
    <col min="2055" max="2055" width="9.140625" style="178"/>
    <col min="2056" max="2056" width="16.7109375" style="178" customWidth="1"/>
    <col min="2057" max="2304" width="9.140625" style="178"/>
    <col min="2305" max="2305" width="11.140625" style="178" customWidth="1"/>
    <col min="2306" max="2306" width="14.5703125" style="178" customWidth="1"/>
    <col min="2307" max="2307" width="9.140625" style="178"/>
    <col min="2308" max="2308" width="15.140625" style="178" customWidth="1"/>
    <col min="2309" max="2309" width="9.140625" style="178"/>
    <col min="2310" max="2310" width="16.140625" style="178" customWidth="1"/>
    <col min="2311" max="2311" width="9.140625" style="178"/>
    <col min="2312" max="2312" width="16.7109375" style="178" customWidth="1"/>
    <col min="2313" max="2560" width="9.140625" style="178"/>
    <col min="2561" max="2561" width="11.140625" style="178" customWidth="1"/>
    <col min="2562" max="2562" width="14.5703125" style="178" customWidth="1"/>
    <col min="2563" max="2563" width="9.140625" style="178"/>
    <col min="2564" max="2564" width="15.140625" style="178" customWidth="1"/>
    <col min="2565" max="2565" width="9.140625" style="178"/>
    <col min="2566" max="2566" width="16.140625" style="178" customWidth="1"/>
    <col min="2567" max="2567" width="9.140625" style="178"/>
    <col min="2568" max="2568" width="16.7109375" style="178" customWidth="1"/>
    <col min="2569" max="2816" width="9.140625" style="178"/>
    <col min="2817" max="2817" width="11.140625" style="178" customWidth="1"/>
    <col min="2818" max="2818" width="14.5703125" style="178" customWidth="1"/>
    <col min="2819" max="2819" width="9.140625" style="178"/>
    <col min="2820" max="2820" width="15.140625" style="178" customWidth="1"/>
    <col min="2821" max="2821" width="9.140625" style="178"/>
    <col min="2822" max="2822" width="16.140625" style="178" customWidth="1"/>
    <col min="2823" max="2823" width="9.140625" style="178"/>
    <col min="2824" max="2824" width="16.7109375" style="178" customWidth="1"/>
    <col min="2825" max="3072" width="9.140625" style="178"/>
    <col min="3073" max="3073" width="11.140625" style="178" customWidth="1"/>
    <col min="3074" max="3074" width="14.5703125" style="178" customWidth="1"/>
    <col min="3075" max="3075" width="9.140625" style="178"/>
    <col min="3076" max="3076" width="15.140625" style="178" customWidth="1"/>
    <col min="3077" max="3077" width="9.140625" style="178"/>
    <col min="3078" max="3078" width="16.140625" style="178" customWidth="1"/>
    <col min="3079" max="3079" width="9.140625" style="178"/>
    <col min="3080" max="3080" width="16.7109375" style="178" customWidth="1"/>
    <col min="3081" max="3328" width="9.140625" style="178"/>
    <col min="3329" max="3329" width="11.140625" style="178" customWidth="1"/>
    <col min="3330" max="3330" width="14.5703125" style="178" customWidth="1"/>
    <col min="3331" max="3331" width="9.140625" style="178"/>
    <col min="3332" max="3332" width="15.140625" style="178" customWidth="1"/>
    <col min="3333" max="3333" width="9.140625" style="178"/>
    <col min="3334" max="3334" width="16.140625" style="178" customWidth="1"/>
    <col min="3335" max="3335" width="9.140625" style="178"/>
    <col min="3336" max="3336" width="16.7109375" style="178" customWidth="1"/>
    <col min="3337" max="3584" width="9.140625" style="178"/>
    <col min="3585" max="3585" width="11.140625" style="178" customWidth="1"/>
    <col min="3586" max="3586" width="14.5703125" style="178" customWidth="1"/>
    <col min="3587" max="3587" width="9.140625" style="178"/>
    <col min="3588" max="3588" width="15.140625" style="178" customWidth="1"/>
    <col min="3589" max="3589" width="9.140625" style="178"/>
    <col min="3590" max="3590" width="16.140625" style="178" customWidth="1"/>
    <col min="3591" max="3591" width="9.140625" style="178"/>
    <col min="3592" max="3592" width="16.7109375" style="178" customWidth="1"/>
    <col min="3593" max="3840" width="9.140625" style="178"/>
    <col min="3841" max="3841" width="11.140625" style="178" customWidth="1"/>
    <col min="3842" max="3842" width="14.5703125" style="178" customWidth="1"/>
    <col min="3843" max="3843" width="9.140625" style="178"/>
    <col min="3844" max="3844" width="15.140625" style="178" customWidth="1"/>
    <col min="3845" max="3845" width="9.140625" style="178"/>
    <col min="3846" max="3846" width="16.140625" style="178" customWidth="1"/>
    <col min="3847" max="3847" width="9.140625" style="178"/>
    <col min="3848" max="3848" width="16.7109375" style="178" customWidth="1"/>
    <col min="3849" max="4096" width="9.140625" style="178"/>
    <col min="4097" max="4097" width="11.140625" style="178" customWidth="1"/>
    <col min="4098" max="4098" width="14.5703125" style="178" customWidth="1"/>
    <col min="4099" max="4099" width="9.140625" style="178"/>
    <col min="4100" max="4100" width="15.140625" style="178" customWidth="1"/>
    <col min="4101" max="4101" width="9.140625" style="178"/>
    <col min="4102" max="4102" width="16.140625" style="178" customWidth="1"/>
    <col min="4103" max="4103" width="9.140625" style="178"/>
    <col min="4104" max="4104" width="16.7109375" style="178" customWidth="1"/>
    <col min="4105" max="4352" width="9.140625" style="178"/>
    <col min="4353" max="4353" width="11.140625" style="178" customWidth="1"/>
    <col min="4354" max="4354" width="14.5703125" style="178" customWidth="1"/>
    <col min="4355" max="4355" width="9.140625" style="178"/>
    <col min="4356" max="4356" width="15.140625" style="178" customWidth="1"/>
    <col min="4357" max="4357" width="9.140625" style="178"/>
    <col min="4358" max="4358" width="16.140625" style="178" customWidth="1"/>
    <col min="4359" max="4359" width="9.140625" style="178"/>
    <col min="4360" max="4360" width="16.7109375" style="178" customWidth="1"/>
    <col min="4361" max="4608" width="9.140625" style="178"/>
    <col min="4609" max="4609" width="11.140625" style="178" customWidth="1"/>
    <col min="4610" max="4610" width="14.5703125" style="178" customWidth="1"/>
    <col min="4611" max="4611" width="9.140625" style="178"/>
    <col min="4612" max="4612" width="15.140625" style="178" customWidth="1"/>
    <col min="4613" max="4613" width="9.140625" style="178"/>
    <col min="4614" max="4614" width="16.140625" style="178" customWidth="1"/>
    <col min="4615" max="4615" width="9.140625" style="178"/>
    <col min="4616" max="4616" width="16.7109375" style="178" customWidth="1"/>
    <col min="4617" max="4864" width="9.140625" style="178"/>
    <col min="4865" max="4865" width="11.140625" style="178" customWidth="1"/>
    <col min="4866" max="4866" width="14.5703125" style="178" customWidth="1"/>
    <col min="4867" max="4867" width="9.140625" style="178"/>
    <col min="4868" max="4868" width="15.140625" style="178" customWidth="1"/>
    <col min="4869" max="4869" width="9.140625" style="178"/>
    <col min="4870" max="4870" width="16.140625" style="178" customWidth="1"/>
    <col min="4871" max="4871" width="9.140625" style="178"/>
    <col min="4872" max="4872" width="16.7109375" style="178" customWidth="1"/>
    <col min="4873" max="5120" width="9.140625" style="178"/>
    <col min="5121" max="5121" width="11.140625" style="178" customWidth="1"/>
    <col min="5122" max="5122" width="14.5703125" style="178" customWidth="1"/>
    <col min="5123" max="5123" width="9.140625" style="178"/>
    <col min="5124" max="5124" width="15.140625" style="178" customWidth="1"/>
    <col min="5125" max="5125" width="9.140625" style="178"/>
    <col min="5126" max="5126" width="16.140625" style="178" customWidth="1"/>
    <col min="5127" max="5127" width="9.140625" style="178"/>
    <col min="5128" max="5128" width="16.7109375" style="178" customWidth="1"/>
    <col min="5129" max="5376" width="9.140625" style="178"/>
    <col min="5377" max="5377" width="11.140625" style="178" customWidth="1"/>
    <col min="5378" max="5378" width="14.5703125" style="178" customWidth="1"/>
    <col min="5379" max="5379" width="9.140625" style="178"/>
    <col min="5380" max="5380" width="15.140625" style="178" customWidth="1"/>
    <col min="5381" max="5381" width="9.140625" style="178"/>
    <col min="5382" max="5382" width="16.140625" style="178" customWidth="1"/>
    <col min="5383" max="5383" width="9.140625" style="178"/>
    <col min="5384" max="5384" width="16.7109375" style="178" customWidth="1"/>
    <col min="5385" max="5632" width="9.140625" style="178"/>
    <col min="5633" max="5633" width="11.140625" style="178" customWidth="1"/>
    <col min="5634" max="5634" width="14.5703125" style="178" customWidth="1"/>
    <col min="5635" max="5635" width="9.140625" style="178"/>
    <col min="5636" max="5636" width="15.140625" style="178" customWidth="1"/>
    <col min="5637" max="5637" width="9.140625" style="178"/>
    <col min="5638" max="5638" width="16.140625" style="178" customWidth="1"/>
    <col min="5639" max="5639" width="9.140625" style="178"/>
    <col min="5640" max="5640" width="16.7109375" style="178" customWidth="1"/>
    <col min="5641" max="5888" width="9.140625" style="178"/>
    <col min="5889" max="5889" width="11.140625" style="178" customWidth="1"/>
    <col min="5890" max="5890" width="14.5703125" style="178" customWidth="1"/>
    <col min="5891" max="5891" width="9.140625" style="178"/>
    <col min="5892" max="5892" width="15.140625" style="178" customWidth="1"/>
    <col min="5893" max="5893" width="9.140625" style="178"/>
    <col min="5894" max="5894" width="16.140625" style="178" customWidth="1"/>
    <col min="5895" max="5895" width="9.140625" style="178"/>
    <col min="5896" max="5896" width="16.7109375" style="178" customWidth="1"/>
    <col min="5897" max="6144" width="9.140625" style="178"/>
    <col min="6145" max="6145" width="11.140625" style="178" customWidth="1"/>
    <col min="6146" max="6146" width="14.5703125" style="178" customWidth="1"/>
    <col min="6147" max="6147" width="9.140625" style="178"/>
    <col min="6148" max="6148" width="15.140625" style="178" customWidth="1"/>
    <col min="6149" max="6149" width="9.140625" style="178"/>
    <col min="6150" max="6150" width="16.140625" style="178" customWidth="1"/>
    <col min="6151" max="6151" width="9.140625" style="178"/>
    <col min="6152" max="6152" width="16.7109375" style="178" customWidth="1"/>
    <col min="6153" max="6400" width="9.140625" style="178"/>
    <col min="6401" max="6401" width="11.140625" style="178" customWidth="1"/>
    <col min="6402" max="6402" width="14.5703125" style="178" customWidth="1"/>
    <col min="6403" max="6403" width="9.140625" style="178"/>
    <col min="6404" max="6404" width="15.140625" style="178" customWidth="1"/>
    <col min="6405" max="6405" width="9.140625" style="178"/>
    <col min="6406" max="6406" width="16.140625" style="178" customWidth="1"/>
    <col min="6407" max="6407" width="9.140625" style="178"/>
    <col min="6408" max="6408" width="16.7109375" style="178" customWidth="1"/>
    <col min="6409" max="6656" width="9.140625" style="178"/>
    <col min="6657" max="6657" width="11.140625" style="178" customWidth="1"/>
    <col min="6658" max="6658" width="14.5703125" style="178" customWidth="1"/>
    <col min="6659" max="6659" width="9.140625" style="178"/>
    <col min="6660" max="6660" width="15.140625" style="178" customWidth="1"/>
    <col min="6661" max="6661" width="9.140625" style="178"/>
    <col min="6662" max="6662" width="16.140625" style="178" customWidth="1"/>
    <col min="6663" max="6663" width="9.140625" style="178"/>
    <col min="6664" max="6664" width="16.7109375" style="178" customWidth="1"/>
    <col min="6665" max="6912" width="9.140625" style="178"/>
    <col min="6913" max="6913" width="11.140625" style="178" customWidth="1"/>
    <col min="6914" max="6914" width="14.5703125" style="178" customWidth="1"/>
    <col min="6915" max="6915" width="9.140625" style="178"/>
    <col min="6916" max="6916" width="15.140625" style="178" customWidth="1"/>
    <col min="6917" max="6917" width="9.140625" style="178"/>
    <col min="6918" max="6918" width="16.140625" style="178" customWidth="1"/>
    <col min="6919" max="6919" width="9.140625" style="178"/>
    <col min="6920" max="6920" width="16.7109375" style="178" customWidth="1"/>
    <col min="6921" max="7168" width="9.140625" style="178"/>
    <col min="7169" max="7169" width="11.140625" style="178" customWidth="1"/>
    <col min="7170" max="7170" width="14.5703125" style="178" customWidth="1"/>
    <col min="7171" max="7171" width="9.140625" style="178"/>
    <col min="7172" max="7172" width="15.140625" style="178" customWidth="1"/>
    <col min="7173" max="7173" width="9.140625" style="178"/>
    <col min="7174" max="7174" width="16.140625" style="178" customWidth="1"/>
    <col min="7175" max="7175" width="9.140625" style="178"/>
    <col min="7176" max="7176" width="16.7109375" style="178" customWidth="1"/>
    <col min="7177" max="7424" width="9.140625" style="178"/>
    <col min="7425" max="7425" width="11.140625" style="178" customWidth="1"/>
    <col min="7426" max="7426" width="14.5703125" style="178" customWidth="1"/>
    <col min="7427" max="7427" width="9.140625" style="178"/>
    <col min="7428" max="7428" width="15.140625" style="178" customWidth="1"/>
    <col min="7429" max="7429" width="9.140625" style="178"/>
    <col min="7430" max="7430" width="16.140625" style="178" customWidth="1"/>
    <col min="7431" max="7431" width="9.140625" style="178"/>
    <col min="7432" max="7432" width="16.7109375" style="178" customWidth="1"/>
    <col min="7433" max="7680" width="9.140625" style="178"/>
    <col min="7681" max="7681" width="11.140625" style="178" customWidth="1"/>
    <col min="7682" max="7682" width="14.5703125" style="178" customWidth="1"/>
    <col min="7683" max="7683" width="9.140625" style="178"/>
    <col min="7684" max="7684" width="15.140625" style="178" customWidth="1"/>
    <col min="7685" max="7685" width="9.140625" style="178"/>
    <col min="7686" max="7686" width="16.140625" style="178" customWidth="1"/>
    <col min="7687" max="7687" width="9.140625" style="178"/>
    <col min="7688" max="7688" width="16.7109375" style="178" customWidth="1"/>
    <col min="7689" max="7936" width="9.140625" style="178"/>
    <col min="7937" max="7937" width="11.140625" style="178" customWidth="1"/>
    <col min="7938" max="7938" width="14.5703125" style="178" customWidth="1"/>
    <col min="7939" max="7939" width="9.140625" style="178"/>
    <col min="7940" max="7940" width="15.140625" style="178" customWidth="1"/>
    <col min="7941" max="7941" width="9.140625" style="178"/>
    <col min="7942" max="7942" width="16.140625" style="178" customWidth="1"/>
    <col min="7943" max="7943" width="9.140625" style="178"/>
    <col min="7944" max="7944" width="16.7109375" style="178" customWidth="1"/>
    <col min="7945" max="8192" width="9.140625" style="178"/>
    <col min="8193" max="8193" width="11.140625" style="178" customWidth="1"/>
    <col min="8194" max="8194" width="14.5703125" style="178" customWidth="1"/>
    <col min="8195" max="8195" width="9.140625" style="178"/>
    <col min="8196" max="8196" width="15.140625" style="178" customWidth="1"/>
    <col min="8197" max="8197" width="9.140625" style="178"/>
    <col min="8198" max="8198" width="16.140625" style="178" customWidth="1"/>
    <col min="8199" max="8199" width="9.140625" style="178"/>
    <col min="8200" max="8200" width="16.7109375" style="178" customWidth="1"/>
    <col min="8201" max="8448" width="9.140625" style="178"/>
    <col min="8449" max="8449" width="11.140625" style="178" customWidth="1"/>
    <col min="8450" max="8450" width="14.5703125" style="178" customWidth="1"/>
    <col min="8451" max="8451" width="9.140625" style="178"/>
    <col min="8452" max="8452" width="15.140625" style="178" customWidth="1"/>
    <col min="8453" max="8453" width="9.140625" style="178"/>
    <col min="8454" max="8454" width="16.140625" style="178" customWidth="1"/>
    <col min="8455" max="8455" width="9.140625" style="178"/>
    <col min="8456" max="8456" width="16.7109375" style="178" customWidth="1"/>
    <col min="8457" max="8704" width="9.140625" style="178"/>
    <col min="8705" max="8705" width="11.140625" style="178" customWidth="1"/>
    <col min="8706" max="8706" width="14.5703125" style="178" customWidth="1"/>
    <col min="8707" max="8707" width="9.140625" style="178"/>
    <col min="8708" max="8708" width="15.140625" style="178" customWidth="1"/>
    <col min="8709" max="8709" width="9.140625" style="178"/>
    <col min="8710" max="8710" width="16.140625" style="178" customWidth="1"/>
    <col min="8711" max="8711" width="9.140625" style="178"/>
    <col min="8712" max="8712" width="16.7109375" style="178" customWidth="1"/>
    <col min="8713" max="8960" width="9.140625" style="178"/>
    <col min="8961" max="8961" width="11.140625" style="178" customWidth="1"/>
    <col min="8962" max="8962" width="14.5703125" style="178" customWidth="1"/>
    <col min="8963" max="8963" width="9.140625" style="178"/>
    <col min="8964" max="8964" width="15.140625" style="178" customWidth="1"/>
    <col min="8965" max="8965" width="9.140625" style="178"/>
    <col min="8966" max="8966" width="16.140625" style="178" customWidth="1"/>
    <col min="8967" max="8967" width="9.140625" style="178"/>
    <col min="8968" max="8968" width="16.7109375" style="178" customWidth="1"/>
    <col min="8969" max="9216" width="9.140625" style="178"/>
    <col min="9217" max="9217" width="11.140625" style="178" customWidth="1"/>
    <col min="9218" max="9218" width="14.5703125" style="178" customWidth="1"/>
    <col min="9219" max="9219" width="9.140625" style="178"/>
    <col min="9220" max="9220" width="15.140625" style="178" customWidth="1"/>
    <col min="9221" max="9221" width="9.140625" style="178"/>
    <col min="9222" max="9222" width="16.140625" style="178" customWidth="1"/>
    <col min="9223" max="9223" width="9.140625" style="178"/>
    <col min="9224" max="9224" width="16.7109375" style="178" customWidth="1"/>
    <col min="9225" max="9472" width="9.140625" style="178"/>
    <col min="9473" max="9473" width="11.140625" style="178" customWidth="1"/>
    <col min="9474" max="9474" width="14.5703125" style="178" customWidth="1"/>
    <col min="9475" max="9475" width="9.140625" style="178"/>
    <col min="9476" max="9476" width="15.140625" style="178" customWidth="1"/>
    <col min="9477" max="9477" width="9.140625" style="178"/>
    <col min="9478" max="9478" width="16.140625" style="178" customWidth="1"/>
    <col min="9479" max="9479" width="9.140625" style="178"/>
    <col min="9480" max="9480" width="16.7109375" style="178" customWidth="1"/>
    <col min="9481" max="9728" width="9.140625" style="178"/>
    <col min="9729" max="9729" width="11.140625" style="178" customWidth="1"/>
    <col min="9730" max="9730" width="14.5703125" style="178" customWidth="1"/>
    <col min="9731" max="9731" width="9.140625" style="178"/>
    <col min="9732" max="9732" width="15.140625" style="178" customWidth="1"/>
    <col min="9733" max="9733" width="9.140625" style="178"/>
    <col min="9734" max="9734" width="16.140625" style="178" customWidth="1"/>
    <col min="9735" max="9735" width="9.140625" style="178"/>
    <col min="9736" max="9736" width="16.7109375" style="178" customWidth="1"/>
    <col min="9737" max="9984" width="9.140625" style="178"/>
    <col min="9985" max="9985" width="11.140625" style="178" customWidth="1"/>
    <col min="9986" max="9986" width="14.5703125" style="178" customWidth="1"/>
    <col min="9987" max="9987" width="9.140625" style="178"/>
    <col min="9988" max="9988" width="15.140625" style="178" customWidth="1"/>
    <col min="9989" max="9989" width="9.140625" style="178"/>
    <col min="9990" max="9990" width="16.140625" style="178" customWidth="1"/>
    <col min="9991" max="9991" width="9.140625" style="178"/>
    <col min="9992" max="9992" width="16.7109375" style="178" customWidth="1"/>
    <col min="9993" max="10240" width="9.140625" style="178"/>
    <col min="10241" max="10241" width="11.140625" style="178" customWidth="1"/>
    <col min="10242" max="10242" width="14.5703125" style="178" customWidth="1"/>
    <col min="10243" max="10243" width="9.140625" style="178"/>
    <col min="10244" max="10244" width="15.140625" style="178" customWidth="1"/>
    <col min="10245" max="10245" width="9.140625" style="178"/>
    <col min="10246" max="10246" width="16.140625" style="178" customWidth="1"/>
    <col min="10247" max="10247" width="9.140625" style="178"/>
    <col min="10248" max="10248" width="16.7109375" style="178" customWidth="1"/>
    <col min="10249" max="10496" width="9.140625" style="178"/>
    <col min="10497" max="10497" width="11.140625" style="178" customWidth="1"/>
    <col min="10498" max="10498" width="14.5703125" style="178" customWidth="1"/>
    <col min="10499" max="10499" width="9.140625" style="178"/>
    <col min="10500" max="10500" width="15.140625" style="178" customWidth="1"/>
    <col min="10501" max="10501" width="9.140625" style="178"/>
    <col min="10502" max="10502" width="16.140625" style="178" customWidth="1"/>
    <col min="10503" max="10503" width="9.140625" style="178"/>
    <col min="10504" max="10504" width="16.7109375" style="178" customWidth="1"/>
    <col min="10505" max="10752" width="9.140625" style="178"/>
    <col min="10753" max="10753" width="11.140625" style="178" customWidth="1"/>
    <col min="10754" max="10754" width="14.5703125" style="178" customWidth="1"/>
    <col min="10755" max="10755" width="9.140625" style="178"/>
    <col min="10756" max="10756" width="15.140625" style="178" customWidth="1"/>
    <col min="10757" max="10757" width="9.140625" style="178"/>
    <col min="10758" max="10758" width="16.140625" style="178" customWidth="1"/>
    <col min="10759" max="10759" width="9.140625" style="178"/>
    <col min="10760" max="10760" width="16.7109375" style="178" customWidth="1"/>
    <col min="10761" max="11008" width="9.140625" style="178"/>
    <col min="11009" max="11009" width="11.140625" style="178" customWidth="1"/>
    <col min="11010" max="11010" width="14.5703125" style="178" customWidth="1"/>
    <col min="11011" max="11011" width="9.140625" style="178"/>
    <col min="11012" max="11012" width="15.140625" style="178" customWidth="1"/>
    <col min="11013" max="11013" width="9.140625" style="178"/>
    <col min="11014" max="11014" width="16.140625" style="178" customWidth="1"/>
    <col min="11015" max="11015" width="9.140625" style="178"/>
    <col min="11016" max="11016" width="16.7109375" style="178" customWidth="1"/>
    <col min="11017" max="11264" width="9.140625" style="178"/>
    <col min="11265" max="11265" width="11.140625" style="178" customWidth="1"/>
    <col min="11266" max="11266" width="14.5703125" style="178" customWidth="1"/>
    <col min="11267" max="11267" width="9.140625" style="178"/>
    <col min="11268" max="11268" width="15.140625" style="178" customWidth="1"/>
    <col min="11269" max="11269" width="9.140625" style="178"/>
    <col min="11270" max="11270" width="16.140625" style="178" customWidth="1"/>
    <col min="11271" max="11271" width="9.140625" style="178"/>
    <col min="11272" max="11272" width="16.7109375" style="178" customWidth="1"/>
    <col min="11273" max="11520" width="9.140625" style="178"/>
    <col min="11521" max="11521" width="11.140625" style="178" customWidth="1"/>
    <col min="11522" max="11522" width="14.5703125" style="178" customWidth="1"/>
    <col min="11523" max="11523" width="9.140625" style="178"/>
    <col min="11524" max="11524" width="15.140625" style="178" customWidth="1"/>
    <col min="11525" max="11525" width="9.140625" style="178"/>
    <col min="11526" max="11526" width="16.140625" style="178" customWidth="1"/>
    <col min="11527" max="11527" width="9.140625" style="178"/>
    <col min="11528" max="11528" width="16.7109375" style="178" customWidth="1"/>
    <col min="11529" max="11776" width="9.140625" style="178"/>
    <col min="11777" max="11777" width="11.140625" style="178" customWidth="1"/>
    <col min="11778" max="11778" width="14.5703125" style="178" customWidth="1"/>
    <col min="11779" max="11779" width="9.140625" style="178"/>
    <col min="11780" max="11780" width="15.140625" style="178" customWidth="1"/>
    <col min="11781" max="11781" width="9.140625" style="178"/>
    <col min="11782" max="11782" width="16.140625" style="178" customWidth="1"/>
    <col min="11783" max="11783" width="9.140625" style="178"/>
    <col min="11784" max="11784" width="16.7109375" style="178" customWidth="1"/>
    <col min="11785" max="12032" width="9.140625" style="178"/>
    <col min="12033" max="12033" width="11.140625" style="178" customWidth="1"/>
    <col min="12034" max="12034" width="14.5703125" style="178" customWidth="1"/>
    <col min="12035" max="12035" width="9.140625" style="178"/>
    <col min="12036" max="12036" width="15.140625" style="178" customWidth="1"/>
    <col min="12037" max="12037" width="9.140625" style="178"/>
    <col min="12038" max="12038" width="16.140625" style="178" customWidth="1"/>
    <col min="12039" max="12039" width="9.140625" style="178"/>
    <col min="12040" max="12040" width="16.7109375" style="178" customWidth="1"/>
    <col min="12041" max="12288" width="9.140625" style="178"/>
    <col min="12289" max="12289" width="11.140625" style="178" customWidth="1"/>
    <col min="12290" max="12290" width="14.5703125" style="178" customWidth="1"/>
    <col min="12291" max="12291" width="9.140625" style="178"/>
    <col min="12292" max="12292" width="15.140625" style="178" customWidth="1"/>
    <col min="12293" max="12293" width="9.140625" style="178"/>
    <col min="12294" max="12294" width="16.140625" style="178" customWidth="1"/>
    <col min="12295" max="12295" width="9.140625" style="178"/>
    <col min="12296" max="12296" width="16.7109375" style="178" customWidth="1"/>
    <col min="12297" max="12544" width="9.140625" style="178"/>
    <col min="12545" max="12545" width="11.140625" style="178" customWidth="1"/>
    <col min="12546" max="12546" width="14.5703125" style="178" customWidth="1"/>
    <col min="12547" max="12547" width="9.140625" style="178"/>
    <col min="12548" max="12548" width="15.140625" style="178" customWidth="1"/>
    <col min="12549" max="12549" width="9.140625" style="178"/>
    <col min="12550" max="12550" width="16.140625" style="178" customWidth="1"/>
    <col min="12551" max="12551" width="9.140625" style="178"/>
    <col min="12552" max="12552" width="16.7109375" style="178" customWidth="1"/>
    <col min="12553" max="12800" width="9.140625" style="178"/>
    <col min="12801" max="12801" width="11.140625" style="178" customWidth="1"/>
    <col min="12802" max="12802" width="14.5703125" style="178" customWidth="1"/>
    <col min="12803" max="12803" width="9.140625" style="178"/>
    <col min="12804" max="12804" width="15.140625" style="178" customWidth="1"/>
    <col min="12805" max="12805" width="9.140625" style="178"/>
    <col min="12806" max="12806" width="16.140625" style="178" customWidth="1"/>
    <col min="12807" max="12807" width="9.140625" style="178"/>
    <col min="12808" max="12808" width="16.7109375" style="178" customWidth="1"/>
    <col min="12809" max="13056" width="9.140625" style="178"/>
    <col min="13057" max="13057" width="11.140625" style="178" customWidth="1"/>
    <col min="13058" max="13058" width="14.5703125" style="178" customWidth="1"/>
    <col min="13059" max="13059" width="9.140625" style="178"/>
    <col min="13060" max="13060" width="15.140625" style="178" customWidth="1"/>
    <col min="13061" max="13061" width="9.140625" style="178"/>
    <col min="13062" max="13062" width="16.140625" style="178" customWidth="1"/>
    <col min="13063" max="13063" width="9.140625" style="178"/>
    <col min="13064" max="13064" width="16.7109375" style="178" customWidth="1"/>
    <col min="13065" max="13312" width="9.140625" style="178"/>
    <col min="13313" max="13313" width="11.140625" style="178" customWidth="1"/>
    <col min="13314" max="13314" width="14.5703125" style="178" customWidth="1"/>
    <col min="13315" max="13315" width="9.140625" style="178"/>
    <col min="13316" max="13316" width="15.140625" style="178" customWidth="1"/>
    <col min="13317" max="13317" width="9.140625" style="178"/>
    <col min="13318" max="13318" width="16.140625" style="178" customWidth="1"/>
    <col min="13319" max="13319" width="9.140625" style="178"/>
    <col min="13320" max="13320" width="16.7109375" style="178" customWidth="1"/>
    <col min="13321" max="13568" width="9.140625" style="178"/>
    <col min="13569" max="13569" width="11.140625" style="178" customWidth="1"/>
    <col min="13570" max="13570" width="14.5703125" style="178" customWidth="1"/>
    <col min="13571" max="13571" width="9.140625" style="178"/>
    <col min="13572" max="13572" width="15.140625" style="178" customWidth="1"/>
    <col min="13573" max="13573" width="9.140625" style="178"/>
    <col min="13574" max="13574" width="16.140625" style="178" customWidth="1"/>
    <col min="13575" max="13575" width="9.140625" style="178"/>
    <col min="13576" max="13576" width="16.7109375" style="178" customWidth="1"/>
    <col min="13577" max="13824" width="9.140625" style="178"/>
    <col min="13825" max="13825" width="11.140625" style="178" customWidth="1"/>
    <col min="13826" max="13826" width="14.5703125" style="178" customWidth="1"/>
    <col min="13827" max="13827" width="9.140625" style="178"/>
    <col min="13828" max="13828" width="15.140625" style="178" customWidth="1"/>
    <col min="13829" max="13829" width="9.140625" style="178"/>
    <col min="13830" max="13830" width="16.140625" style="178" customWidth="1"/>
    <col min="13831" max="13831" width="9.140625" style="178"/>
    <col min="13832" max="13832" width="16.7109375" style="178" customWidth="1"/>
    <col min="13833" max="14080" width="9.140625" style="178"/>
    <col min="14081" max="14081" width="11.140625" style="178" customWidth="1"/>
    <col min="14082" max="14082" width="14.5703125" style="178" customWidth="1"/>
    <col min="14083" max="14083" width="9.140625" style="178"/>
    <col min="14084" max="14084" width="15.140625" style="178" customWidth="1"/>
    <col min="14085" max="14085" width="9.140625" style="178"/>
    <col min="14086" max="14086" width="16.140625" style="178" customWidth="1"/>
    <col min="14087" max="14087" width="9.140625" style="178"/>
    <col min="14088" max="14088" width="16.7109375" style="178" customWidth="1"/>
    <col min="14089" max="14336" width="9.140625" style="178"/>
    <col min="14337" max="14337" width="11.140625" style="178" customWidth="1"/>
    <col min="14338" max="14338" width="14.5703125" style="178" customWidth="1"/>
    <col min="14339" max="14339" width="9.140625" style="178"/>
    <col min="14340" max="14340" width="15.140625" style="178" customWidth="1"/>
    <col min="14341" max="14341" width="9.140625" style="178"/>
    <col min="14342" max="14342" width="16.140625" style="178" customWidth="1"/>
    <col min="14343" max="14343" width="9.140625" style="178"/>
    <col min="14344" max="14344" width="16.7109375" style="178" customWidth="1"/>
    <col min="14345" max="14592" width="9.140625" style="178"/>
    <col min="14593" max="14593" width="11.140625" style="178" customWidth="1"/>
    <col min="14594" max="14594" width="14.5703125" style="178" customWidth="1"/>
    <col min="14595" max="14595" width="9.140625" style="178"/>
    <col min="14596" max="14596" width="15.140625" style="178" customWidth="1"/>
    <col min="14597" max="14597" width="9.140625" style="178"/>
    <col min="14598" max="14598" width="16.140625" style="178" customWidth="1"/>
    <col min="14599" max="14599" width="9.140625" style="178"/>
    <col min="14600" max="14600" width="16.7109375" style="178" customWidth="1"/>
    <col min="14601" max="14848" width="9.140625" style="178"/>
    <col min="14849" max="14849" width="11.140625" style="178" customWidth="1"/>
    <col min="14850" max="14850" width="14.5703125" style="178" customWidth="1"/>
    <col min="14851" max="14851" width="9.140625" style="178"/>
    <col min="14852" max="14852" width="15.140625" style="178" customWidth="1"/>
    <col min="14853" max="14853" width="9.140625" style="178"/>
    <col min="14854" max="14854" width="16.140625" style="178" customWidth="1"/>
    <col min="14855" max="14855" width="9.140625" style="178"/>
    <col min="14856" max="14856" width="16.7109375" style="178" customWidth="1"/>
    <col min="14857" max="15104" width="9.140625" style="178"/>
    <col min="15105" max="15105" width="11.140625" style="178" customWidth="1"/>
    <col min="15106" max="15106" width="14.5703125" style="178" customWidth="1"/>
    <col min="15107" max="15107" width="9.140625" style="178"/>
    <col min="15108" max="15108" width="15.140625" style="178" customWidth="1"/>
    <col min="15109" max="15109" width="9.140625" style="178"/>
    <col min="15110" max="15110" width="16.140625" style="178" customWidth="1"/>
    <col min="15111" max="15111" width="9.140625" style="178"/>
    <col min="15112" max="15112" width="16.7109375" style="178" customWidth="1"/>
    <col min="15113" max="15360" width="9.140625" style="178"/>
    <col min="15361" max="15361" width="11.140625" style="178" customWidth="1"/>
    <col min="15362" max="15362" width="14.5703125" style="178" customWidth="1"/>
    <col min="15363" max="15363" width="9.140625" style="178"/>
    <col min="15364" max="15364" width="15.140625" style="178" customWidth="1"/>
    <col min="15365" max="15365" width="9.140625" style="178"/>
    <col min="15366" max="15366" width="16.140625" style="178" customWidth="1"/>
    <col min="15367" max="15367" width="9.140625" style="178"/>
    <col min="15368" max="15368" width="16.7109375" style="178" customWidth="1"/>
    <col min="15369" max="15616" width="9.140625" style="178"/>
    <col min="15617" max="15617" width="11.140625" style="178" customWidth="1"/>
    <col min="15618" max="15618" width="14.5703125" style="178" customWidth="1"/>
    <col min="15619" max="15619" width="9.140625" style="178"/>
    <col min="15620" max="15620" width="15.140625" style="178" customWidth="1"/>
    <col min="15621" max="15621" width="9.140625" style="178"/>
    <col min="15622" max="15622" width="16.140625" style="178" customWidth="1"/>
    <col min="15623" max="15623" width="9.140625" style="178"/>
    <col min="15624" max="15624" width="16.7109375" style="178" customWidth="1"/>
    <col min="15625" max="15872" width="9.140625" style="178"/>
    <col min="15873" max="15873" width="11.140625" style="178" customWidth="1"/>
    <col min="15874" max="15874" width="14.5703125" style="178" customWidth="1"/>
    <col min="15875" max="15875" width="9.140625" style="178"/>
    <col min="15876" max="15876" width="15.140625" style="178" customWidth="1"/>
    <col min="15877" max="15877" width="9.140625" style="178"/>
    <col min="15878" max="15878" width="16.140625" style="178" customWidth="1"/>
    <col min="15879" max="15879" width="9.140625" style="178"/>
    <col min="15880" max="15880" width="16.7109375" style="178" customWidth="1"/>
    <col min="15881" max="16128" width="9.140625" style="178"/>
    <col min="16129" max="16129" width="11.140625" style="178" customWidth="1"/>
    <col min="16130" max="16130" width="14.5703125" style="178" customWidth="1"/>
    <col min="16131" max="16131" width="9.140625" style="178"/>
    <col min="16132" max="16132" width="15.140625" style="178" customWidth="1"/>
    <col min="16133" max="16133" width="9.140625" style="178"/>
    <col min="16134" max="16134" width="16.140625" style="178" customWidth="1"/>
    <col min="16135" max="16135" width="9.140625" style="178"/>
    <col min="16136" max="16136" width="16.7109375" style="178" customWidth="1"/>
    <col min="16137" max="16384" width="9.140625" style="178"/>
  </cols>
  <sheetData>
    <row r="1" spans="1:4" x14ac:dyDescent="0.25">
      <c r="A1" s="177" t="s">
        <v>427</v>
      </c>
    </row>
    <row r="2" spans="1:4" x14ac:dyDescent="0.25">
      <c r="A2" s="179" t="s">
        <v>428</v>
      </c>
    </row>
    <row r="3" spans="1:4" x14ac:dyDescent="0.25">
      <c r="A3" s="180" t="s">
        <v>429</v>
      </c>
      <c r="B3" s="181"/>
      <c r="C3" s="181"/>
      <c r="D3" s="181"/>
    </row>
    <row r="9" spans="1:4" x14ac:dyDescent="0.25">
      <c r="A9" s="178" t="s">
        <v>430</v>
      </c>
    </row>
    <row r="10" spans="1:4" ht="15.75" x14ac:dyDescent="0.3">
      <c r="A10" s="178" t="s">
        <v>431</v>
      </c>
      <c r="B10" s="178" t="s">
        <v>432</v>
      </c>
    </row>
    <row r="11" spans="1:4" x14ac:dyDescent="0.25">
      <c r="A11" s="178" t="s">
        <v>433</v>
      </c>
      <c r="B11" s="178" t="s">
        <v>434</v>
      </c>
    </row>
    <row r="23" spans="1:8" x14ac:dyDescent="0.25">
      <c r="A23" s="178" t="s">
        <v>430</v>
      </c>
    </row>
    <row r="24" spans="1:8" x14ac:dyDescent="0.25">
      <c r="A24" s="178" t="s">
        <v>435</v>
      </c>
      <c r="B24" s="178" t="s">
        <v>436</v>
      </c>
    </row>
    <row r="26" spans="1:8" x14ac:dyDescent="0.25">
      <c r="A26" s="182" t="s">
        <v>437</v>
      </c>
    </row>
    <row r="28" spans="1:8" ht="15.75" x14ac:dyDescent="0.3">
      <c r="A28" s="183" t="s">
        <v>438</v>
      </c>
      <c r="B28" s="184">
        <v>-19.467360719999999</v>
      </c>
      <c r="C28" s="183" t="s">
        <v>439</v>
      </c>
      <c r="D28" s="185">
        <v>30.071017147999999</v>
      </c>
      <c r="E28" s="183" t="s">
        <v>440</v>
      </c>
      <c r="F28" s="184">
        <v>-15.1343742</v>
      </c>
      <c r="G28" s="183" t="s">
        <v>441</v>
      </c>
      <c r="H28" s="184">
        <v>1.9554987254</v>
      </c>
    </row>
    <row r="29" spans="1:8" ht="15.75" x14ac:dyDescent="0.3">
      <c r="A29" s="183" t="s">
        <v>442</v>
      </c>
      <c r="B29" s="184">
        <v>6.2742134120000001E-2</v>
      </c>
      <c r="C29" s="183" t="s">
        <v>443</v>
      </c>
      <c r="D29" s="186">
        <v>-0.1710870779</v>
      </c>
      <c r="E29" s="183" t="s">
        <v>444</v>
      </c>
      <c r="F29" s="186">
        <v>0.1020104827</v>
      </c>
      <c r="G29" s="183" t="s">
        <v>445</v>
      </c>
      <c r="H29" s="187">
        <v>-1.3966991620000001E-2</v>
      </c>
    </row>
    <row r="30" spans="1:8" ht="15.75" x14ac:dyDescent="0.3">
      <c r="A30" s="183" t="s">
        <v>446</v>
      </c>
      <c r="B30" s="188">
        <v>2.3844734359999999E-4</v>
      </c>
      <c r="C30" s="183" t="s">
        <v>447</v>
      </c>
      <c r="D30" s="188">
        <v>2.26883134E-4</v>
      </c>
      <c r="E30" s="183" t="s">
        <v>448</v>
      </c>
      <c r="F30" s="188">
        <v>-2.1657938510000001E-4</v>
      </c>
      <c r="G30" s="183" t="s">
        <v>449</v>
      </c>
      <c r="H30" s="188">
        <v>3.2648682049999998E-5</v>
      </c>
    </row>
    <row r="31" spans="1:8" ht="15.75" x14ac:dyDescent="0.3">
      <c r="A31" s="183" t="s">
        <v>450</v>
      </c>
      <c r="B31" s="188">
        <v>-5.6738990720000002E-7</v>
      </c>
      <c r="C31" s="183" t="s">
        <v>451</v>
      </c>
      <c r="D31" s="188">
        <v>3.1233505179999998E-8</v>
      </c>
      <c r="E31" s="183" t="s">
        <v>452</v>
      </c>
      <c r="F31" s="188">
        <v>1.348432385E-7</v>
      </c>
      <c r="G31" s="183" t="s">
        <v>453</v>
      </c>
      <c r="H31" s="188">
        <v>-2.4201098730000001E-8</v>
      </c>
    </row>
    <row r="34" spans="1:29" x14ac:dyDescent="0.25">
      <c r="A34" s="189" t="s">
        <v>454</v>
      </c>
    </row>
    <row r="35" spans="1:29" x14ac:dyDescent="0.25">
      <c r="A35" s="189"/>
      <c r="E35" s="178" t="s">
        <v>485</v>
      </c>
      <c r="K35" s="178" t="s">
        <v>486</v>
      </c>
      <c r="Q35" s="178" t="s">
        <v>487</v>
      </c>
    </row>
    <row r="36" spans="1:29" x14ac:dyDescent="0.25">
      <c r="A36" s="178" t="s">
        <v>433</v>
      </c>
      <c r="B36" s="190">
        <f>E36*6.89475729316836</f>
        <v>652.93351566304375</v>
      </c>
      <c r="C36" s="183" t="s">
        <v>455</v>
      </c>
      <c r="E36" s="159">
        <f>'Gathering Drwg'!E34+14.7</f>
        <v>94.7</v>
      </c>
      <c r="F36" s="191" t="s">
        <v>167</v>
      </c>
      <c r="H36" s="190">
        <f>K36*6.89475729316836</f>
        <v>273.7218645387839</v>
      </c>
      <c r="I36" s="183" t="s">
        <v>455</v>
      </c>
      <c r="K36" s="159">
        <f>'Gathering Drwg'!F34+14.7</f>
        <v>39.700000000000003</v>
      </c>
      <c r="L36" s="191" t="s">
        <v>167</v>
      </c>
      <c r="N36" s="190">
        <f>Q36*6.89475729316836</f>
        <v>3548.731578793755</v>
      </c>
      <c r="O36" s="183" t="s">
        <v>455</v>
      </c>
      <c r="P36" s="178" t="s">
        <v>19</v>
      </c>
      <c r="Q36" s="159">
        <f>'Gathering Drwg'!G34+14.7</f>
        <v>514.70000000000005</v>
      </c>
      <c r="R36" s="191" t="s">
        <v>167</v>
      </c>
      <c r="T36" s="190">
        <f>W36*6.89475729316836</f>
        <v>3117.8092479707325</v>
      </c>
      <c r="U36" s="183" t="s">
        <v>455</v>
      </c>
      <c r="V36" s="178" t="s">
        <v>19</v>
      </c>
      <c r="W36" s="239">
        <f>'Booster Drwg'!M34+14.7</f>
        <v>452.2</v>
      </c>
      <c r="X36" s="191" t="s">
        <v>167</v>
      </c>
      <c r="Z36" s="190">
        <f>AC36*6.89475729316836</f>
        <v>2979.9141021073651</v>
      </c>
      <c r="AA36" s="183" t="s">
        <v>455</v>
      </c>
      <c r="AB36" s="178" t="s">
        <v>19</v>
      </c>
      <c r="AC36" s="239">
        <f>'Plant Inlet Drwg'!O57+14.7</f>
        <v>432.2</v>
      </c>
    </row>
    <row r="37" spans="1:29" x14ac:dyDescent="0.25">
      <c r="A37" s="178" t="s">
        <v>435</v>
      </c>
      <c r="B37" s="192">
        <f>(E37-32)/1.8</f>
        <v>37.777777777777779</v>
      </c>
      <c r="C37" s="193" t="s">
        <v>456</v>
      </c>
      <c r="E37" s="159">
        <f>'Gathering Drwg'!E35</f>
        <v>100</v>
      </c>
      <c r="F37" s="191" t="s">
        <v>457</v>
      </c>
      <c r="H37" s="194">
        <f>(K37-32)/1.8</f>
        <v>21.111111111111111</v>
      </c>
      <c r="I37" s="193" t="s">
        <v>456</v>
      </c>
      <c r="K37" s="159">
        <f>'Gathering Drwg'!F35</f>
        <v>70</v>
      </c>
      <c r="L37" s="191" t="s">
        <v>457</v>
      </c>
      <c r="N37" s="194">
        <f>(Q37-32)/1.8</f>
        <v>48.888888888888886</v>
      </c>
      <c r="O37" s="193" t="s">
        <v>456</v>
      </c>
      <c r="Q37" s="159">
        <f>'Gathering Drwg'!G35</f>
        <v>120</v>
      </c>
      <c r="R37" s="191" t="s">
        <v>457</v>
      </c>
      <c r="T37" s="194">
        <f>(W37-32)/1.8</f>
        <v>26.666666666666664</v>
      </c>
      <c r="U37" s="193" t="s">
        <v>456</v>
      </c>
      <c r="W37" s="239">
        <f>'Booster Drwg'!M35</f>
        <v>80</v>
      </c>
      <c r="X37" s="191" t="s">
        <v>457</v>
      </c>
      <c r="Z37" s="194">
        <f>(AC37-32)/1.8</f>
        <v>37.777777777777779</v>
      </c>
      <c r="AA37" s="193" t="s">
        <v>456</v>
      </c>
      <c r="AC37" s="239">
        <f>'Plant Inlet Drwg'!O58</f>
        <v>100</v>
      </c>
    </row>
    <row r="39" spans="1:29" x14ac:dyDescent="0.25">
      <c r="A39" s="189" t="s">
        <v>59</v>
      </c>
    </row>
    <row r="40" spans="1:29" x14ac:dyDescent="0.25">
      <c r="A40" s="178" t="s">
        <v>458</v>
      </c>
      <c r="B40" s="195">
        <f>B$28+B$29*($B$37+273.15)+B$30*($B$37+273.15)^2+B$31*($B$37+273.15)^3</f>
        <v>6.0377349036520407</v>
      </c>
      <c r="C40" s="196" t="s">
        <v>459</v>
      </c>
      <c r="D40" s="197">
        <v>1</v>
      </c>
      <c r="H40" s="195">
        <f>B$28+B$29*($H$37+273.15)+B$30*($H$37+273.15)^2+B$31*($H$37+273.15)^3</f>
        <v>5.185202043348438</v>
      </c>
      <c r="I40" s="196" t="s">
        <v>459</v>
      </c>
      <c r="J40" s="197">
        <v>1</v>
      </c>
      <c r="N40" s="195">
        <f>$B$28+$B$29*(N$37+273.15)+$B$30*(N$37+273.15)^2+$B$31*(N$37+273.15)^3</f>
        <v>6.5173085576857375</v>
      </c>
      <c r="O40" s="196" t="s">
        <v>459</v>
      </c>
      <c r="P40" s="197">
        <v>1</v>
      </c>
      <c r="T40" s="195">
        <f>$B$28+$B$29*(T$37+273.15)+$B$30*(T$37+273.15)^2+$B$31*(T$37+273.15)^3</f>
        <v>5.4863576680534791</v>
      </c>
      <c r="U40" s="196" t="s">
        <v>459</v>
      </c>
      <c r="V40" s="197">
        <v>1</v>
      </c>
      <c r="Z40" s="195">
        <f>$B$28+$B$29*(Z$37+273.15)+$B$30*(Z$37+273.15)^2+$B$31*(Z$37+273.15)^3</f>
        <v>6.0377349036520407</v>
      </c>
      <c r="AA40" s="196" t="s">
        <v>459</v>
      </c>
      <c r="AB40" s="197">
        <v>1</v>
      </c>
    </row>
    <row r="41" spans="1:29" x14ac:dyDescent="0.25">
      <c r="A41" s="178" t="s">
        <v>460</v>
      </c>
      <c r="B41" s="195">
        <f>D$28+D$29*($B$37+273.15)+D$30*($B$37+273.15)^2+D$31*($B$37+273.15)^3</f>
        <v>-0.25167843081625563</v>
      </c>
      <c r="H41" s="195">
        <f>D$28+D$29*($H$37+273.15)+D$30*($H$37+273.15)^2+D$31*($H$37+273.15)^3</f>
        <v>0.16829189508760767</v>
      </c>
      <c r="N41" s="195">
        <f>$D$28+$D$29*(B$37+273.15)+$D$30*(B$37+273.15)^2+$D$31*(B$37+273.15)^3</f>
        <v>-0.25167843081625563</v>
      </c>
      <c r="T41" s="195">
        <f>$D$28+$D$29*(B$37+273.15)+$D$30*(B$37+273.15)^2+$D$31*(B$37+273.15)^3</f>
        <v>-0.25167843081625563</v>
      </c>
      <c r="Z41" s="195">
        <f>$D$28+$D$29*(B$37+273.15)+$D$30*(B$37+273.15)^2+$D$31*(B$37+273.15)^3</f>
        <v>-0.25167843081625563</v>
      </c>
    </row>
    <row r="42" spans="1:29" x14ac:dyDescent="0.25">
      <c r="A42" s="178" t="s">
        <v>461</v>
      </c>
      <c r="B42" s="195">
        <f>F$28+F$29*($B$37+273.15)+F$30*($B$37+273.15)^2+F$31*($B$37+273.15)^3</f>
        <v>-0.30123749781034803</v>
      </c>
      <c r="H42" s="195">
        <f>F$28+F$29*($H$37+273.15)+F$30*($H$37+273.15)^2+F$31*($H$37+273.15)^3</f>
        <v>-0.43437957538735095</v>
      </c>
      <c r="N42" s="195">
        <f>$F$28+$F$29*(B$37+273.15)+$F$30*(B$37+273.15)^2+$F$31*(B$37+273.15)^3</f>
        <v>-0.30123749781034803</v>
      </c>
      <c r="T42" s="195">
        <f>$F$28+$F$29*(B$37+273.15)+$F$30*(B$37+273.15)^2+$F$31*(B$37+273.15)^3</f>
        <v>-0.30123749781034803</v>
      </c>
      <c r="Z42" s="195">
        <f>$F$28+$F$29*(B$37+273.15)+$F$30*(B$37+273.15)^2+$F$31*(B$37+273.15)^3</f>
        <v>-0.30123749781034803</v>
      </c>
    </row>
    <row r="43" spans="1:29" x14ac:dyDescent="0.25">
      <c r="A43" s="178" t="s">
        <v>462</v>
      </c>
      <c r="B43" s="195">
        <f>H$28+H$29*($B$37+273.15)+H$30*($B$37+273.15)^2+H$31*($B$37+273.15)^3</f>
        <v>4.1652159706458192E-2</v>
      </c>
      <c r="H43" s="195">
        <f>H$28+H$29*($H$37+273.15)+H30*($H$37+273.15)^2+H$31*($H$37+273.15)^3</f>
        <v>5.5949778533020855E-2</v>
      </c>
      <c r="N43" s="195">
        <f>$H$28+$H$29*(B$37+273.15)+$H$30*(B$37+273.15)^2+$H$31*(B$37+273.15)^3</f>
        <v>4.1652159706458192E-2</v>
      </c>
      <c r="T43" s="195">
        <f>$H$28+$H$29*(B$37+273.15)+$H$30*(B$37+273.15)^2+$H$31*(B$37+273.15)^3</f>
        <v>4.1652159706458192E-2</v>
      </c>
      <c r="Z43" s="195">
        <f>$H$28+$H$29*(B$37+273.15)+$H$30*(B$37+273.15)^2+$H$31*(B$37+273.15)^3</f>
        <v>4.1652159706458192E-2</v>
      </c>
    </row>
    <row r="44" spans="1:29" x14ac:dyDescent="0.25">
      <c r="A44" s="178" t="s">
        <v>463</v>
      </c>
      <c r="B44" s="195">
        <f>B41*LOG(B36)</f>
        <v>-0.70844180328486672</v>
      </c>
      <c r="C44" s="196" t="s">
        <v>459</v>
      </c>
      <c r="D44" s="197">
        <v>2</v>
      </c>
      <c r="H44" s="195">
        <f>H41*LOG(H36)</f>
        <v>0.41017943293019382</v>
      </c>
      <c r="I44" s="196" t="s">
        <v>459</v>
      </c>
      <c r="J44" s="197">
        <v>2</v>
      </c>
      <c r="N44" s="195">
        <f>N41*LOG(N36)</f>
        <v>-0.89347683996406302</v>
      </c>
      <c r="O44" s="196" t="s">
        <v>459</v>
      </c>
      <c r="P44" s="197">
        <v>2</v>
      </c>
      <c r="T44" s="195">
        <f>T41*LOG(T36)</f>
        <v>-0.87932656996382652</v>
      </c>
      <c r="U44" s="196" t="s">
        <v>459</v>
      </c>
      <c r="V44" s="197">
        <v>2</v>
      </c>
      <c r="Z44" s="195">
        <f>Z41*LOG(Z36)</f>
        <v>-0.87438214698978345</v>
      </c>
      <c r="AA44" s="196" t="s">
        <v>459</v>
      </c>
      <c r="AB44" s="197">
        <v>2</v>
      </c>
    </row>
    <row r="45" spans="1:29" x14ac:dyDescent="0.25">
      <c r="A45" s="178" t="s">
        <v>464</v>
      </c>
      <c r="B45" s="198">
        <f>B42*(LOG(B36))^2</f>
        <v>-2.3868514799539593</v>
      </c>
      <c r="C45" s="196" t="s">
        <v>465</v>
      </c>
      <c r="D45" s="197">
        <v>3</v>
      </c>
      <c r="H45" s="198">
        <f>H42*(LOG(H36))^2</f>
        <v>-2.5804221150701085</v>
      </c>
      <c r="I45" s="196" t="s">
        <v>465</v>
      </c>
      <c r="J45" s="197">
        <v>3</v>
      </c>
      <c r="N45" s="198">
        <f>N42*(LOG(N36))^2</f>
        <v>-3.7965020224370605</v>
      </c>
      <c r="O45" s="196" t="s">
        <v>465</v>
      </c>
      <c r="P45" s="197">
        <v>3</v>
      </c>
      <c r="T45" s="198">
        <f>T42*(LOG(T36))^2</f>
        <v>-3.677201501082362</v>
      </c>
      <c r="U45" s="196" t="s">
        <v>465</v>
      </c>
      <c r="V45" s="197">
        <v>3</v>
      </c>
      <c r="Z45" s="198">
        <f>Z42*(LOG(Z36))^2</f>
        <v>-3.6359642114670838</v>
      </c>
      <c r="AA45" s="196" t="s">
        <v>465</v>
      </c>
      <c r="AB45" s="197">
        <v>3</v>
      </c>
    </row>
    <row r="46" spans="1:29" x14ac:dyDescent="0.25">
      <c r="A46" s="178" t="s">
        <v>466</v>
      </c>
      <c r="B46" s="198">
        <f>B43*(LOG(B36))^3</f>
        <v>0.92899220928778681</v>
      </c>
      <c r="C46" s="196" t="s">
        <v>467</v>
      </c>
      <c r="D46" s="197">
        <v>4</v>
      </c>
      <c r="H46" s="198">
        <f>H43*(LOG(H36))^3</f>
        <v>0.81008466321504757</v>
      </c>
      <c r="I46" s="196" t="s">
        <v>467</v>
      </c>
      <c r="J46" s="197">
        <v>4</v>
      </c>
      <c r="N46" s="198">
        <f>N43*(LOG(N36))^3</f>
        <v>1.8635859647588326</v>
      </c>
      <c r="O46" s="196" t="s">
        <v>467</v>
      </c>
      <c r="P46" s="197">
        <v>4</v>
      </c>
      <c r="T46" s="198">
        <f>T43*(LOG(T36))^3</f>
        <v>1.7764382702903261</v>
      </c>
      <c r="U46" s="196" t="s">
        <v>467</v>
      </c>
      <c r="V46" s="197">
        <v>4</v>
      </c>
      <c r="Z46" s="198">
        <f>Z43*(LOG(Z36))^3</f>
        <v>1.7466399019933641</v>
      </c>
      <c r="AA46" s="196" t="s">
        <v>467</v>
      </c>
      <c r="AB46" s="197">
        <v>4</v>
      </c>
    </row>
    <row r="47" spans="1:29" x14ac:dyDescent="0.25">
      <c r="A47" s="178" t="s">
        <v>468</v>
      </c>
      <c r="B47" s="195">
        <f>B40+B44+B45+B46</f>
        <v>3.8714338297010014</v>
      </c>
      <c r="H47" s="195">
        <f>H40+H44+H45+H46</f>
        <v>3.8250440244235713</v>
      </c>
      <c r="N47" s="195">
        <f>N40+N44+N45+N46</f>
        <v>3.6909156600434461</v>
      </c>
      <c r="T47" s="195">
        <f>T40+T44+T45+T46</f>
        <v>2.7062678672976173</v>
      </c>
      <c r="Z47" s="195">
        <f>Z40+Z44+Z45+Z46</f>
        <v>3.2740284471885372</v>
      </c>
    </row>
    <row r="48" spans="1:29" ht="15.75" x14ac:dyDescent="0.3">
      <c r="A48" s="178" t="s">
        <v>469</v>
      </c>
      <c r="B48" s="199">
        <f>10^B47</f>
        <v>7437.6173269560622</v>
      </c>
      <c r="C48" s="178" t="s">
        <v>470</v>
      </c>
      <c r="H48" s="199">
        <f>10^H47</f>
        <v>6684.1167101316169</v>
      </c>
      <c r="I48" s="178" t="s">
        <v>470</v>
      </c>
      <c r="N48" s="199">
        <f>10^N47</f>
        <v>4908.125511353911</v>
      </c>
      <c r="O48" s="178" t="s">
        <v>470</v>
      </c>
      <c r="T48" s="199">
        <f>10^T47</f>
        <v>508.47296550240361</v>
      </c>
      <c r="U48" s="178" t="s">
        <v>470</v>
      </c>
      <c r="Z48" s="199">
        <f>10^Z47</f>
        <v>1879.4399199809222</v>
      </c>
      <c r="AA48" s="178" t="s">
        <v>470</v>
      </c>
    </row>
    <row r="49" spans="1:27" x14ac:dyDescent="0.25">
      <c r="B49" s="200">
        <f>B48*0.0624278</f>
        <v>464.31408696374763</v>
      </c>
      <c r="C49" s="178" t="s">
        <v>471</v>
      </c>
      <c r="H49" s="201">
        <f>H48*0.0624278</f>
        <v>417.27470115675453</v>
      </c>
      <c r="I49" s="178" t="s">
        <v>471</v>
      </c>
      <c r="N49" s="201">
        <f>N48*0.0624278</f>
        <v>306.40347779769968</v>
      </c>
      <c r="O49" s="178" t="s">
        <v>471</v>
      </c>
      <c r="T49" s="201">
        <f>T48*0.0624278</f>
        <v>31.742848595790953</v>
      </c>
      <c r="U49" s="178" t="s">
        <v>471</v>
      </c>
      <c r="Z49" s="201">
        <f>Z48*0.0624278</f>
        <v>117.32929943658502</v>
      </c>
      <c r="AA49" s="178" t="s">
        <v>471</v>
      </c>
    </row>
    <row r="52" spans="1:27" x14ac:dyDescent="0.25">
      <c r="A52" s="178" t="s">
        <v>472</v>
      </c>
      <c r="B52" s="189" t="s">
        <v>473</v>
      </c>
    </row>
    <row r="53" spans="1:27" x14ac:dyDescent="0.25">
      <c r="B53" s="189" t="s">
        <v>474</v>
      </c>
    </row>
    <row r="54" spans="1:27" x14ac:dyDescent="0.25">
      <c r="A54" s="178" t="s">
        <v>475</v>
      </c>
      <c r="B54" s="202" t="s">
        <v>476</v>
      </c>
    </row>
    <row r="56" spans="1:27" x14ac:dyDescent="0.25">
      <c r="A56" s="305" t="s">
        <v>477</v>
      </c>
      <c r="B56" s="306"/>
      <c r="C56" s="306"/>
      <c r="D56" s="306"/>
      <c r="E56" s="306"/>
      <c r="F56" s="306"/>
      <c r="G56" s="306"/>
      <c r="H56" s="306"/>
      <c r="I56" s="203"/>
      <c r="J56" s="203"/>
      <c r="K56" s="204"/>
    </row>
  </sheetData>
  <mergeCells count="1">
    <mergeCell ref="A56:H56"/>
  </mergeCells>
  <hyperlinks>
    <hyperlink ref="B54" r:id="rId1" xr:uid="{00000000-0004-0000-0D00-000000000000}"/>
    <hyperlink ref="A3" r:id="rId2" xr:uid="{00000000-0004-0000-0D00-000001000000}"/>
  </hyperlinks>
  <pageMargins left="0.7" right="0.7" top="0.75" bottom="0.75" header="0.3" footer="0.3"/>
  <drawing r:id="rId3"/>
  <legacyDrawing r:id="rId4"/>
  <oleObjects>
    <mc:AlternateContent xmlns:mc="http://schemas.openxmlformats.org/markup-compatibility/2006">
      <mc:Choice Requires="x14">
        <oleObject progId="Equation.3" shapeId="12289" r:id="rId5">
          <objectPr defaultSize="0" autoPict="0" r:id="rId6">
            <anchor moveWithCells="1">
              <from>
                <xdr:col>0</xdr:col>
                <xdr:colOff>57150</xdr:colOff>
                <xdr:row>4</xdr:row>
                <xdr:rowOff>19050</xdr:rowOff>
              </from>
              <to>
                <xdr:col>3</xdr:col>
                <xdr:colOff>114300</xdr:colOff>
                <xdr:row>7</xdr:row>
                <xdr:rowOff>85725</xdr:rowOff>
              </to>
            </anchor>
          </objectPr>
        </oleObject>
      </mc:Choice>
      <mc:Fallback>
        <oleObject progId="Equation.3" shapeId="12289" r:id="rId5"/>
      </mc:Fallback>
    </mc:AlternateContent>
    <mc:AlternateContent xmlns:mc="http://schemas.openxmlformats.org/markup-compatibility/2006">
      <mc:Choice Requires="x14">
        <oleObject progId="Equation.3" shapeId="12290" r:id="rId7">
          <objectPr defaultSize="0" autoPict="0" r:id="rId8">
            <anchor moveWithCells="1">
              <from>
                <xdr:col>0</xdr:col>
                <xdr:colOff>161925</xdr:colOff>
                <xdr:row>11</xdr:row>
                <xdr:rowOff>123825</xdr:rowOff>
              </from>
              <to>
                <xdr:col>1</xdr:col>
                <xdr:colOff>647700</xdr:colOff>
                <xdr:row>13</xdr:row>
                <xdr:rowOff>28575</xdr:rowOff>
              </to>
            </anchor>
          </objectPr>
        </oleObject>
      </mc:Choice>
      <mc:Fallback>
        <oleObject progId="Equation.3" shapeId="12290" r:id="rId7"/>
      </mc:Fallback>
    </mc:AlternateContent>
    <mc:AlternateContent xmlns:mc="http://schemas.openxmlformats.org/markup-compatibility/2006">
      <mc:Choice Requires="x14">
        <oleObject progId="Equation.3" shapeId="12291" r:id="rId9">
          <objectPr defaultSize="0" autoPict="0" r:id="rId10">
            <anchor moveWithCells="1">
              <from>
                <xdr:col>0</xdr:col>
                <xdr:colOff>123825</xdr:colOff>
                <xdr:row>14</xdr:row>
                <xdr:rowOff>19050</xdr:rowOff>
              </from>
              <to>
                <xdr:col>1</xdr:col>
                <xdr:colOff>666750</xdr:colOff>
                <xdr:row>15</xdr:row>
                <xdr:rowOff>104775</xdr:rowOff>
              </to>
            </anchor>
          </objectPr>
        </oleObject>
      </mc:Choice>
      <mc:Fallback>
        <oleObject progId="Equation.3" shapeId="12291" r:id="rId9"/>
      </mc:Fallback>
    </mc:AlternateContent>
    <mc:AlternateContent xmlns:mc="http://schemas.openxmlformats.org/markup-compatibility/2006">
      <mc:Choice Requires="x14">
        <oleObject progId="Equation.3" shapeId="12292" r:id="rId11">
          <objectPr defaultSize="0" autoPict="0" r:id="rId12">
            <anchor moveWithCells="1">
              <from>
                <xdr:col>0</xdr:col>
                <xdr:colOff>104775</xdr:colOff>
                <xdr:row>17</xdr:row>
                <xdr:rowOff>9525</xdr:rowOff>
              </from>
              <to>
                <xdr:col>1</xdr:col>
                <xdr:colOff>657225</xdr:colOff>
                <xdr:row>18</xdr:row>
                <xdr:rowOff>114300</xdr:rowOff>
              </to>
            </anchor>
          </objectPr>
        </oleObject>
      </mc:Choice>
      <mc:Fallback>
        <oleObject progId="Equation.3" shapeId="12292" r:id="rId11"/>
      </mc:Fallback>
    </mc:AlternateContent>
    <mc:AlternateContent xmlns:mc="http://schemas.openxmlformats.org/markup-compatibility/2006">
      <mc:Choice Requires="x14">
        <oleObject progId="Equation.3" shapeId="12293" r:id="rId13">
          <objectPr defaultSize="0" autoPict="0" r:id="rId14">
            <anchor moveWithCells="1">
              <from>
                <xdr:col>0</xdr:col>
                <xdr:colOff>152400</xdr:colOff>
                <xdr:row>19</xdr:row>
                <xdr:rowOff>123825</xdr:rowOff>
              </from>
              <to>
                <xdr:col>2</xdr:col>
                <xdr:colOff>114300</xdr:colOff>
                <xdr:row>21</xdr:row>
                <xdr:rowOff>47625</xdr:rowOff>
              </to>
            </anchor>
          </objectPr>
        </oleObject>
      </mc:Choice>
      <mc:Fallback>
        <oleObject progId="Equation.3" shapeId="12293" r:id="rId1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"/>
  <sheetViews>
    <sheetView zoomScale="75" zoomScaleNormal="75" workbookViewId="0">
      <selection activeCell="Y46" sqref="Y46"/>
    </sheetView>
  </sheetViews>
  <sheetFormatPr defaultColWidth="9.140625" defaultRowHeight="15" x14ac:dyDescent="0.25"/>
  <cols>
    <col min="1" max="16384" width="9.140625" style="4"/>
  </cols>
  <sheetData/>
  <printOptions horizontalCentered="1" verticalCentered="1"/>
  <pageMargins left="0.2" right="0.2" top="0.5" bottom="0.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J68"/>
  <sheetViews>
    <sheetView topLeftCell="A18" workbookViewId="0">
      <selection activeCell="K11" sqref="K11"/>
    </sheetView>
  </sheetViews>
  <sheetFormatPr defaultColWidth="9.140625" defaultRowHeight="15" x14ac:dyDescent="0.25"/>
  <cols>
    <col min="1" max="1" width="4.28515625" style="4" customWidth="1"/>
    <col min="2" max="2" width="9.140625" style="4"/>
    <col min="3" max="3" width="25.28515625" style="4" customWidth="1"/>
    <col min="4" max="4" width="10.140625" style="4" customWidth="1"/>
    <col min="5" max="5" width="9.42578125" style="4" customWidth="1"/>
    <col min="6" max="6" width="10.140625" style="4" customWidth="1"/>
    <col min="7" max="7" width="10.85546875" style="4" customWidth="1"/>
    <col min="8" max="8" width="12" style="4" customWidth="1"/>
    <col min="9" max="9" width="2.7109375" style="4" customWidth="1"/>
    <col min="10" max="10" width="3.5703125" style="4" customWidth="1"/>
    <col min="11" max="11" width="8.42578125" style="4" customWidth="1"/>
    <col min="12" max="12" width="6.7109375" style="4" customWidth="1"/>
    <col min="13" max="13" width="8" style="4" customWidth="1"/>
    <col min="14" max="14" width="12" style="4" bestFit="1" customWidth="1"/>
    <col min="15" max="15" width="4.5703125" style="4" customWidth="1"/>
    <col min="16" max="16" width="9.140625" style="4"/>
    <col min="17" max="17" width="10.7109375" style="4" customWidth="1"/>
    <col min="18" max="18" width="7.28515625" style="4" customWidth="1"/>
    <col min="19" max="30" width="9.140625" style="4"/>
    <col min="31" max="37" width="0" style="4" hidden="1" customWidth="1"/>
    <col min="38" max="16384" width="9.140625" style="4"/>
  </cols>
  <sheetData>
    <row r="1" spans="2:33" ht="10.5" customHeight="1" x14ac:dyDescent="0.25"/>
    <row r="2" spans="2:33" x14ac:dyDescent="0.25">
      <c r="B2" s="274" t="s">
        <v>217</v>
      </c>
      <c r="D2" s="6" t="s">
        <v>53</v>
      </c>
    </row>
    <row r="3" spans="2:33" ht="6.75" customHeight="1" x14ac:dyDescent="0.25"/>
    <row r="4" spans="2:33" x14ac:dyDescent="0.25">
      <c r="B4" s="71">
        <f>'Design Basis'!B38</f>
        <v>192.71444079098674</v>
      </c>
      <c r="C4" s="4" t="s">
        <v>17</v>
      </c>
      <c r="D4" s="25">
        <f>'Hp Est Tool'!Q85</f>
        <v>21163.366157096094</v>
      </c>
      <c r="E4" s="7" t="s">
        <v>54</v>
      </c>
      <c r="K4" s="4" t="s">
        <v>320</v>
      </c>
      <c r="M4" s="272">
        <v>0.125</v>
      </c>
      <c r="N4" s="62" t="s">
        <v>607</v>
      </c>
      <c r="O4" s="4" t="s">
        <v>321</v>
      </c>
      <c r="Q4" s="272">
        <v>3.5</v>
      </c>
      <c r="R4" s="62" t="s">
        <v>606</v>
      </c>
    </row>
    <row r="6" spans="2:33" ht="30" x14ac:dyDescent="0.25">
      <c r="B6" s="8" t="s">
        <v>55</v>
      </c>
      <c r="C6" s="9"/>
      <c r="D6" s="10" t="s">
        <v>41</v>
      </c>
      <c r="E6" s="11" t="s">
        <v>44</v>
      </c>
      <c r="F6" s="10" t="s">
        <v>56</v>
      </c>
      <c r="G6" s="12" t="s">
        <v>57</v>
      </c>
      <c r="H6" s="13" t="s">
        <v>58</v>
      </c>
      <c r="I6" s="42"/>
      <c r="K6" s="8"/>
      <c r="L6" s="61"/>
      <c r="M6" s="61"/>
      <c r="N6" s="61" t="s">
        <v>59</v>
      </c>
      <c r="O6" s="61"/>
      <c r="P6" s="61"/>
      <c r="Q6" s="61"/>
      <c r="R6" s="61"/>
      <c r="S6" s="9"/>
    </row>
    <row r="7" spans="2:33" x14ac:dyDescent="0.25">
      <c r="B7" s="14"/>
      <c r="C7" s="15"/>
      <c r="D7" s="16"/>
      <c r="E7" s="17"/>
      <c r="F7" s="16"/>
      <c r="G7" s="18"/>
      <c r="H7" s="19"/>
      <c r="I7" s="42"/>
      <c r="K7" s="8"/>
      <c r="L7" s="61"/>
      <c r="M7" s="61"/>
      <c r="N7" s="61"/>
      <c r="O7" s="61"/>
      <c r="P7" s="61"/>
      <c r="Q7" s="61"/>
      <c r="R7" s="61"/>
      <c r="S7" s="9"/>
    </row>
    <row r="8" spans="2:33" x14ac:dyDescent="0.25">
      <c r="B8" s="20" t="s">
        <v>60</v>
      </c>
      <c r="C8" s="15"/>
      <c r="D8" s="16"/>
      <c r="E8" s="21"/>
      <c r="F8" s="16"/>
      <c r="G8" s="18"/>
      <c r="H8" s="19"/>
      <c r="I8" s="42"/>
      <c r="K8" s="14"/>
      <c r="L8" s="69"/>
      <c r="M8" s="69"/>
      <c r="N8" s="69"/>
      <c r="O8" s="69"/>
      <c r="P8" s="69"/>
      <c r="Q8" s="69"/>
      <c r="R8" s="69"/>
      <c r="S8" s="15"/>
    </row>
    <row r="9" spans="2:33" x14ac:dyDescent="0.25">
      <c r="B9" s="22" t="s">
        <v>61</v>
      </c>
      <c r="C9" s="23"/>
      <c r="D9" s="24"/>
      <c r="E9" s="25"/>
      <c r="F9" s="24"/>
      <c r="G9" s="5"/>
      <c r="H9" s="26"/>
      <c r="I9" s="42"/>
      <c r="K9" s="22"/>
      <c r="S9" s="23"/>
    </row>
    <row r="10" spans="2:33" x14ac:dyDescent="0.25">
      <c r="B10" s="22"/>
      <c r="C10" s="23" t="s">
        <v>62</v>
      </c>
      <c r="D10" s="56">
        <f>'Plant Inlet Drwg'!E46</f>
        <v>3.2536641996278339</v>
      </c>
      <c r="E10" s="57"/>
      <c r="F10" s="56">
        <f>D10*0.746</f>
        <v>2.427233492922364</v>
      </c>
      <c r="G10" s="58">
        <f>M4</f>
        <v>0.125</v>
      </c>
      <c r="H10" s="70">
        <f>F10*G10*24*365</f>
        <v>2657.8206747499889</v>
      </c>
      <c r="I10" s="63"/>
      <c r="K10" s="22"/>
      <c r="L10" s="5"/>
      <c r="S10" s="23"/>
    </row>
    <row r="11" spans="2:33" ht="15.75" x14ac:dyDescent="0.25">
      <c r="B11" s="22"/>
      <c r="C11" s="23" t="s">
        <v>63</v>
      </c>
      <c r="D11" s="56">
        <f>K11/1000*P11</f>
        <v>0</v>
      </c>
      <c r="E11" s="57"/>
      <c r="F11" s="56">
        <f>D11*0.746</f>
        <v>0</v>
      </c>
      <c r="G11" s="58">
        <f>M4</f>
        <v>0.125</v>
      </c>
      <c r="H11" s="70">
        <f>F11*G11*24*365</f>
        <v>0</v>
      </c>
      <c r="I11" s="63"/>
      <c r="K11" s="144">
        <f>M11*'Plant Inlet Drwg'!M55*42*0.13</f>
        <v>0</v>
      </c>
      <c r="L11" s="4" t="s">
        <v>64</v>
      </c>
      <c r="M11" s="273">
        <v>0.02</v>
      </c>
      <c r="N11" s="4" t="s">
        <v>625</v>
      </c>
      <c r="P11" s="274">
        <v>200</v>
      </c>
      <c r="Q11" s="4" t="s">
        <v>65</v>
      </c>
      <c r="S11" s="23"/>
    </row>
    <row r="12" spans="2:33" x14ac:dyDescent="0.25">
      <c r="B12" s="22" t="s">
        <v>66</v>
      </c>
      <c r="C12" s="23"/>
      <c r="D12" s="56"/>
      <c r="E12" s="57"/>
      <c r="F12" s="56"/>
      <c r="G12" s="58"/>
      <c r="H12" s="70"/>
      <c r="I12" s="63"/>
      <c r="K12" s="22"/>
      <c r="S12" s="23"/>
    </row>
    <row r="13" spans="2:33" x14ac:dyDescent="0.25">
      <c r="B13" s="22"/>
      <c r="C13" s="23" t="s">
        <v>67</v>
      </c>
      <c r="D13" s="56">
        <f>'Hp Est Tool'!Q25</f>
        <v>8596.2844595969218</v>
      </c>
      <c r="E13" s="57">
        <f>'Hp Est Tool'!Q30/24</f>
        <v>85.962844595969216</v>
      </c>
      <c r="F13" s="56">
        <f>D13*0.746</f>
        <v>6412.8282068593035</v>
      </c>
      <c r="G13" s="58">
        <f>Q4</f>
        <v>3.5</v>
      </c>
      <c r="H13" s="70">
        <f>E13*G13*24*365</f>
        <v>2635620.8153124158</v>
      </c>
      <c r="I13" s="63"/>
      <c r="K13" s="22"/>
      <c r="S13" s="23"/>
    </row>
    <row r="14" spans="2:33" x14ac:dyDescent="0.25">
      <c r="B14" s="22" t="s">
        <v>68</v>
      </c>
      <c r="C14" s="23"/>
      <c r="D14" s="56"/>
      <c r="E14" s="57"/>
      <c r="F14" s="56"/>
      <c r="G14" s="58"/>
      <c r="H14" s="70"/>
      <c r="I14" s="63"/>
      <c r="K14" s="22"/>
      <c r="S14" s="23"/>
    </row>
    <row r="15" spans="2:33" x14ac:dyDescent="0.25">
      <c r="B15" s="22"/>
      <c r="C15" s="23" t="s">
        <v>382</v>
      </c>
      <c r="D15" s="56"/>
      <c r="E15" s="57"/>
      <c r="F15" s="56"/>
      <c r="G15" s="58"/>
      <c r="H15" s="70">
        <f>M15*P15</f>
        <v>2319674.412780684</v>
      </c>
      <c r="I15" s="63"/>
      <c r="K15" s="144">
        <f>'Plant Inlet Drwg'!B92</f>
        <v>189854.30461746667</v>
      </c>
      <c r="L15" s="4" t="s">
        <v>618</v>
      </c>
      <c r="M15" s="59">
        <f>K15*R15/1100</f>
        <v>1449.7965079879275</v>
      </c>
      <c r="N15" s="4" t="s">
        <v>71</v>
      </c>
      <c r="P15" s="275">
        <v>1600</v>
      </c>
      <c r="Q15" s="62" t="s">
        <v>605</v>
      </c>
      <c r="R15" s="4">
        <v>8.4</v>
      </c>
      <c r="S15" s="23" t="s">
        <v>79</v>
      </c>
    </row>
    <row r="16" spans="2:33" x14ac:dyDescent="0.25">
      <c r="B16" s="22"/>
      <c r="C16" s="23" t="s">
        <v>62</v>
      </c>
      <c r="D16" s="56">
        <f>'Plant Inlet Drwg'!G47</f>
        <v>66.788813963900651</v>
      </c>
      <c r="E16" s="57"/>
      <c r="F16" s="56">
        <f>D16*0.746</f>
        <v>49.824455217069882</v>
      </c>
      <c r="G16" s="58">
        <f>M4</f>
        <v>0.125</v>
      </c>
      <c r="H16" s="70">
        <f>F16*G16*24*365</f>
        <v>54557.778462691516</v>
      </c>
      <c r="I16" s="63"/>
      <c r="J16" s="23"/>
      <c r="K16" s="71">
        <f>'Plant Inlet Drwg'!B86</f>
        <v>206.40824594201638</v>
      </c>
      <c r="L16" s="4" t="s">
        <v>260</v>
      </c>
      <c r="N16" s="71"/>
      <c r="S16" s="23"/>
      <c r="AF16" s="4" t="s">
        <v>73</v>
      </c>
      <c r="AG16" s="4" t="s">
        <v>74</v>
      </c>
    </row>
    <row r="17" spans="2:36" x14ac:dyDescent="0.25">
      <c r="B17" s="22"/>
      <c r="C17" s="23" t="s">
        <v>380</v>
      </c>
      <c r="D17" s="56">
        <f>K17/1000*P17</f>
        <v>330.25319350722384</v>
      </c>
      <c r="E17" s="57"/>
      <c r="F17" s="56">
        <f>D17*0.746</f>
        <v>246.36888235638898</v>
      </c>
      <c r="G17" s="58">
        <f>M4</f>
        <v>0.125</v>
      </c>
      <c r="H17" s="70">
        <f>F17*G17*24*365</f>
        <v>269773.92618024594</v>
      </c>
      <c r="I17" s="63"/>
      <c r="K17" s="144">
        <f>'Plant Inlet Drwg'!P52*1000</f>
        <v>1651.2659675361192</v>
      </c>
      <c r="L17" s="4" t="s">
        <v>64</v>
      </c>
      <c r="P17" s="274">
        <v>200</v>
      </c>
      <c r="Q17" s="4" t="s">
        <v>65</v>
      </c>
      <c r="S17" s="23"/>
      <c r="AF17" s="4">
        <v>0.2</v>
      </c>
      <c r="AG17" s="4">
        <v>42</v>
      </c>
      <c r="AH17" s="4">
        <v>393.12</v>
      </c>
      <c r="AI17" s="4">
        <v>1965.6</v>
      </c>
      <c r="AJ17" s="4" t="s">
        <v>75</v>
      </c>
    </row>
    <row r="18" spans="2:36" x14ac:dyDescent="0.25">
      <c r="B18" s="22"/>
      <c r="C18" s="23" t="s">
        <v>76</v>
      </c>
      <c r="D18" s="56"/>
      <c r="E18" s="57">
        <f>'Plant Inlet Drwg'!I46</f>
        <v>13.375254337042662</v>
      </c>
      <c r="F18" s="56"/>
      <c r="G18" s="58">
        <f>Q4</f>
        <v>3.5</v>
      </c>
      <c r="H18" s="70">
        <f>E18*G18*24*365</f>
        <v>410085.29797372798</v>
      </c>
      <c r="I18" s="63"/>
      <c r="K18" s="22"/>
      <c r="S18" s="23"/>
      <c r="AG18" s="4">
        <v>210</v>
      </c>
      <c r="AH18" s="4">
        <v>1965.6</v>
      </c>
    </row>
    <row r="19" spans="2:36" x14ac:dyDescent="0.25">
      <c r="B19" s="22" t="s">
        <v>77</v>
      </c>
      <c r="C19" s="23"/>
      <c r="D19" s="56"/>
      <c r="E19" s="57"/>
      <c r="F19" s="56"/>
      <c r="G19" s="58"/>
      <c r="H19" s="70"/>
      <c r="I19" s="63"/>
      <c r="K19" s="22"/>
      <c r="S19" s="23"/>
      <c r="AG19" s="4" t="s">
        <v>78</v>
      </c>
    </row>
    <row r="20" spans="2:36" x14ac:dyDescent="0.25">
      <c r="B20" s="22"/>
      <c r="C20" s="23" t="s">
        <v>381</v>
      </c>
      <c r="D20" s="56"/>
      <c r="E20" s="57"/>
      <c r="F20" s="56"/>
      <c r="G20" s="58"/>
      <c r="H20" s="70">
        <f>M20*P20</f>
        <v>512938.6762785106</v>
      </c>
      <c r="I20" s="63"/>
      <c r="K20" s="144">
        <f>'Plant Inlet Drwg'!I94</f>
        <v>40187.503127233736</v>
      </c>
      <c r="L20" s="4" t="s">
        <v>618</v>
      </c>
      <c r="M20" s="59">
        <f>K20*R20/1100</f>
        <v>341.95911751900707</v>
      </c>
      <c r="N20" s="4" t="s">
        <v>71</v>
      </c>
      <c r="P20" s="275">
        <v>1500</v>
      </c>
      <c r="Q20" s="62" t="s">
        <v>605</v>
      </c>
      <c r="R20" s="4">
        <v>9.36</v>
      </c>
      <c r="S20" s="23" t="s">
        <v>79</v>
      </c>
    </row>
    <row r="21" spans="2:36" x14ac:dyDescent="0.25">
      <c r="B21" s="22"/>
      <c r="C21" s="23" t="s">
        <v>62</v>
      </c>
      <c r="D21" s="56">
        <f>'Plant Inlet Drwg'!K46</f>
        <v>27.296306347835703</v>
      </c>
      <c r="E21" s="57"/>
      <c r="F21" s="56">
        <f>D21*0.746</f>
        <v>20.363044535485436</v>
      </c>
      <c r="G21" s="58">
        <f>M4</f>
        <v>0.125</v>
      </c>
      <c r="H21" s="70">
        <f>F21*G21*24*365</f>
        <v>22297.533766356551</v>
      </c>
      <c r="I21" s="63"/>
      <c r="J21" s="23"/>
      <c r="K21" s="71">
        <f>'Plant Inlet Drwg'!I87</f>
        <v>27.296306347835703</v>
      </c>
      <c r="L21" s="4" t="s">
        <v>260</v>
      </c>
      <c r="M21" s="22"/>
      <c r="S21" s="23"/>
    </row>
    <row r="22" spans="2:36" x14ac:dyDescent="0.25">
      <c r="B22" s="22"/>
      <c r="C22" s="23" t="s">
        <v>76</v>
      </c>
      <c r="D22" s="56"/>
      <c r="E22" s="57">
        <f>'Plant Inlet Drwg'!M46</f>
        <v>3.2755567617402845</v>
      </c>
      <c r="F22" s="56"/>
      <c r="G22" s="58">
        <f>Q4</f>
        <v>3.5</v>
      </c>
      <c r="H22" s="70">
        <f>E22*G22*24*365</f>
        <v>100428.57031495713</v>
      </c>
      <c r="I22" s="63"/>
      <c r="K22" s="22"/>
      <c r="S22" s="23"/>
    </row>
    <row r="23" spans="2:36" x14ac:dyDescent="0.25">
      <c r="B23" s="22" t="s">
        <v>80</v>
      </c>
      <c r="C23" s="23"/>
      <c r="D23" s="56"/>
      <c r="E23" s="57"/>
      <c r="F23" s="56"/>
      <c r="G23" s="58"/>
      <c r="H23" s="70"/>
      <c r="I23" s="63"/>
      <c r="K23" s="22"/>
      <c r="S23" s="23"/>
    </row>
    <row r="24" spans="2:36" x14ac:dyDescent="0.25">
      <c r="B24" s="22"/>
      <c r="C24" s="23" t="s">
        <v>81</v>
      </c>
      <c r="D24" s="56"/>
      <c r="E24" s="57"/>
      <c r="F24" s="56"/>
      <c r="G24" s="58"/>
      <c r="H24" s="70">
        <v>0</v>
      </c>
      <c r="I24" s="63"/>
      <c r="K24" s="173"/>
      <c r="L24" s="5"/>
      <c r="M24" s="5"/>
      <c r="N24" s="5"/>
      <c r="O24" s="5"/>
      <c r="S24" s="23"/>
    </row>
    <row r="25" spans="2:36" x14ac:dyDescent="0.25">
      <c r="B25" s="22"/>
      <c r="C25" s="23" t="s">
        <v>82</v>
      </c>
      <c r="D25" s="56"/>
      <c r="E25" s="57">
        <f>'Plant Inlet Drwg'!P46</f>
        <v>15</v>
      </c>
      <c r="F25" s="56"/>
      <c r="G25" s="58">
        <f>Q4</f>
        <v>3.5</v>
      </c>
      <c r="H25" s="70">
        <f>E25*G25*24*365</f>
        <v>459900</v>
      </c>
      <c r="I25" s="63"/>
      <c r="K25" s="22"/>
      <c r="S25" s="23"/>
    </row>
    <row r="26" spans="2:36" x14ac:dyDescent="0.25">
      <c r="B26" s="22"/>
      <c r="C26" s="23" t="s">
        <v>83</v>
      </c>
      <c r="D26" s="56">
        <f>'Plant Inlet Drwg'!P49</f>
        <v>255</v>
      </c>
      <c r="E26" s="57">
        <v>0</v>
      </c>
      <c r="F26" s="56">
        <f>D26*0.746</f>
        <v>190.23</v>
      </c>
      <c r="G26" s="58">
        <v>0.1</v>
      </c>
      <c r="H26" s="70">
        <f>F26*G26*24*365</f>
        <v>166641.48000000001</v>
      </c>
      <c r="I26" s="63"/>
      <c r="K26" s="22"/>
      <c r="S26" s="23"/>
    </row>
    <row r="27" spans="2:36" x14ac:dyDescent="0.25">
      <c r="B27" s="22" t="s">
        <v>84</v>
      </c>
      <c r="C27" s="23"/>
      <c r="D27" s="56"/>
      <c r="E27" s="57"/>
      <c r="F27" s="56"/>
      <c r="G27" s="58"/>
      <c r="H27" s="70"/>
      <c r="I27" s="63"/>
      <c r="K27" s="22"/>
      <c r="S27" s="23"/>
    </row>
    <row r="28" spans="2:36" x14ac:dyDescent="0.25">
      <c r="B28" s="22"/>
      <c r="C28" s="23" t="s">
        <v>85</v>
      </c>
      <c r="D28" s="56">
        <f>'Hp Est Tool'!Q55</f>
        <v>2346.5699800820839</v>
      </c>
      <c r="E28" s="57">
        <f>'Hp Est Tool'!Q60/24</f>
        <v>23.46569980082084</v>
      </c>
      <c r="F28" s="56">
        <f>D28*0.746</f>
        <v>1750.5412051412345</v>
      </c>
      <c r="G28" s="58">
        <v>0.1</v>
      </c>
      <c r="H28" s="70">
        <f>F28*G28*24*365</f>
        <v>1533474.0957037215</v>
      </c>
      <c r="I28" s="63"/>
      <c r="K28" s="22"/>
      <c r="S28" s="23"/>
    </row>
    <row r="29" spans="2:36" x14ac:dyDescent="0.25">
      <c r="B29" s="22"/>
      <c r="C29" s="23" t="s">
        <v>86</v>
      </c>
      <c r="D29" s="56">
        <f>'Cryo Plt Drwg'!K36</f>
        <v>358.1785191498717</v>
      </c>
      <c r="E29" s="57"/>
      <c r="F29" s="56">
        <f>D29*0.746</f>
        <v>267.20117528580431</v>
      </c>
      <c r="G29" s="58">
        <f>M4</f>
        <v>0.125</v>
      </c>
      <c r="H29" s="70">
        <f>F29*G29*24*365</f>
        <v>292585.28693795571</v>
      </c>
      <c r="I29" s="63"/>
      <c r="K29" s="22"/>
      <c r="S29" s="23"/>
    </row>
    <row r="30" spans="2:36" x14ac:dyDescent="0.25">
      <c r="B30" s="22" t="s">
        <v>87</v>
      </c>
      <c r="C30" s="23"/>
      <c r="D30" s="56"/>
      <c r="E30" s="57"/>
      <c r="F30" s="56"/>
      <c r="G30" s="58"/>
      <c r="H30" s="70"/>
      <c r="I30" s="63"/>
      <c r="K30" s="22"/>
      <c r="S30" s="23"/>
    </row>
    <row r="31" spans="2:36" x14ac:dyDescent="0.25">
      <c r="B31" s="22"/>
      <c r="C31" s="23" t="s">
        <v>88</v>
      </c>
      <c r="D31" s="56">
        <f>'Hp Est Tool'!Q40</f>
        <v>9965.5117174170882</v>
      </c>
      <c r="E31" s="57">
        <f>'Hp Est Tool'!Q45/24</f>
        <v>99.655117174170883</v>
      </c>
      <c r="F31" s="56">
        <f>D31*0.746</f>
        <v>7434.271741193148</v>
      </c>
      <c r="G31" s="58">
        <f>Q4</f>
        <v>3.5</v>
      </c>
      <c r="H31" s="70">
        <f>E31*G31*24*365</f>
        <v>3055425.8925600792</v>
      </c>
      <c r="I31" s="63"/>
      <c r="J31" s="29"/>
      <c r="K31" s="22"/>
      <c r="S31" s="23"/>
    </row>
    <row r="32" spans="2:36" x14ac:dyDescent="0.25">
      <c r="B32" s="22" t="s">
        <v>116</v>
      </c>
      <c r="C32" s="23"/>
      <c r="D32" s="56"/>
      <c r="E32" s="57"/>
      <c r="F32" s="56"/>
      <c r="G32" s="58"/>
      <c r="H32" s="70"/>
      <c r="I32" s="63"/>
      <c r="J32" s="29"/>
      <c r="K32" s="22"/>
      <c r="S32" s="23"/>
    </row>
    <row r="33" spans="2:19" x14ac:dyDescent="0.25">
      <c r="B33" s="22"/>
      <c r="C33" s="23" t="s">
        <v>88</v>
      </c>
      <c r="D33" s="56">
        <v>0</v>
      </c>
      <c r="E33" s="57">
        <f>D33*0.008</f>
        <v>0</v>
      </c>
      <c r="F33" s="56">
        <f>D33*0.746</f>
        <v>0</v>
      </c>
      <c r="G33" s="58">
        <v>0.1</v>
      </c>
      <c r="H33" s="70">
        <f>E33*G33*24*365</f>
        <v>0</v>
      </c>
      <c r="I33" s="63"/>
      <c r="J33" s="29"/>
      <c r="K33" s="22"/>
      <c r="S33" s="23"/>
    </row>
    <row r="34" spans="2:19" x14ac:dyDescent="0.25">
      <c r="B34" s="22" t="s">
        <v>115</v>
      </c>
      <c r="C34" s="23"/>
      <c r="D34" s="56"/>
      <c r="E34" s="57"/>
      <c r="F34" s="56"/>
      <c r="G34" s="58"/>
      <c r="H34" s="70"/>
      <c r="I34" s="63"/>
      <c r="J34" s="29"/>
      <c r="K34" s="22"/>
      <c r="S34" s="23"/>
    </row>
    <row r="35" spans="2:19" x14ac:dyDescent="0.25">
      <c r="B35" s="22"/>
      <c r="C35" s="23"/>
      <c r="D35" s="56">
        <v>0</v>
      </c>
      <c r="E35" s="57"/>
      <c r="F35" s="56">
        <f>D35*0.746</f>
        <v>0</v>
      </c>
      <c r="G35" s="58">
        <f>M4</f>
        <v>0.125</v>
      </c>
      <c r="H35" s="70">
        <f>F35*G35*24*365</f>
        <v>0</v>
      </c>
      <c r="I35" s="63"/>
      <c r="J35" s="29"/>
      <c r="K35" s="22"/>
      <c r="S35" s="23"/>
    </row>
    <row r="36" spans="2:19" x14ac:dyDescent="0.25">
      <c r="B36" s="22"/>
      <c r="C36" s="23"/>
      <c r="D36" s="56"/>
      <c r="E36" s="57"/>
      <c r="F36" s="56"/>
      <c r="G36" s="58"/>
      <c r="H36" s="70"/>
      <c r="I36" s="63"/>
      <c r="J36" s="29"/>
      <c r="K36" s="22" t="s">
        <v>608</v>
      </c>
      <c r="S36" s="23"/>
    </row>
    <row r="37" spans="2:19" x14ac:dyDescent="0.25">
      <c r="B37" s="22" t="s">
        <v>89</v>
      </c>
      <c r="C37" s="23"/>
      <c r="D37" s="56"/>
      <c r="E37" s="57"/>
      <c r="F37" s="56"/>
      <c r="G37" s="58"/>
      <c r="H37" s="70">
        <f>SUM(H8:H34)</f>
        <v>11836061.586946096</v>
      </c>
      <c r="I37" s="63"/>
      <c r="J37" s="29"/>
      <c r="K37" s="22" t="s">
        <v>609</v>
      </c>
      <c r="S37" s="23"/>
    </row>
    <row r="38" spans="2:19" x14ac:dyDescent="0.25">
      <c r="B38" s="22"/>
      <c r="C38" s="23"/>
      <c r="D38" s="27"/>
      <c r="E38" s="25"/>
      <c r="F38" s="24" t="s">
        <v>90</v>
      </c>
      <c r="G38" s="5"/>
      <c r="H38" s="26"/>
      <c r="I38" s="42"/>
      <c r="J38" s="29"/>
      <c r="K38" s="22" t="s">
        <v>611</v>
      </c>
      <c r="S38" s="23"/>
    </row>
    <row r="39" spans="2:19" x14ac:dyDescent="0.25">
      <c r="B39" s="22" t="s">
        <v>91</v>
      </c>
      <c r="C39" s="23"/>
      <c r="D39" s="27"/>
      <c r="E39" s="25"/>
      <c r="F39" s="43">
        <v>0.5</v>
      </c>
      <c r="G39" s="28"/>
      <c r="H39" s="26">
        <f>H37*F39</f>
        <v>5918030.7934730481</v>
      </c>
      <c r="I39" s="42"/>
      <c r="J39" s="29"/>
      <c r="K39" s="22" t="s">
        <v>610</v>
      </c>
      <c r="S39" s="23"/>
    </row>
    <row r="40" spans="2:19" ht="17.25" customHeight="1" x14ac:dyDescent="0.25">
      <c r="B40" s="22"/>
      <c r="C40" s="23"/>
      <c r="D40" s="27"/>
      <c r="E40" s="25"/>
      <c r="F40" s="27"/>
      <c r="G40" s="28"/>
      <c r="H40" s="26"/>
      <c r="I40" s="42"/>
      <c r="J40" s="29"/>
      <c r="K40" s="22" t="s">
        <v>626</v>
      </c>
      <c r="S40" s="23"/>
    </row>
    <row r="41" spans="2:19" x14ac:dyDescent="0.25">
      <c r="B41" s="30" t="s">
        <v>92</v>
      </c>
      <c r="C41" s="31"/>
      <c r="D41" s="32"/>
      <c r="E41" s="33"/>
      <c r="F41" s="32"/>
      <c r="G41" s="34"/>
      <c r="H41" s="35">
        <f>H37+H39</f>
        <v>17754092.380419143</v>
      </c>
      <c r="I41" s="64"/>
      <c r="J41" s="29"/>
      <c r="K41" s="51"/>
      <c r="L41" s="60"/>
      <c r="M41" s="60"/>
      <c r="N41" s="60"/>
      <c r="O41" s="60"/>
      <c r="P41" s="60"/>
      <c r="Q41" s="60"/>
      <c r="R41" s="60"/>
      <c r="S41" s="52"/>
    </row>
    <row r="42" spans="2:19" x14ac:dyDescent="0.25">
      <c r="B42" s="36"/>
      <c r="C42" s="37"/>
      <c r="D42" s="38"/>
      <c r="E42" s="39"/>
      <c r="F42" s="38"/>
      <c r="G42" s="40"/>
      <c r="H42" s="41"/>
      <c r="I42" s="64"/>
      <c r="J42" s="29"/>
      <c r="K42" s="8"/>
      <c r="L42" s="61"/>
      <c r="M42" s="61"/>
      <c r="N42" s="61"/>
      <c r="O42" s="61"/>
      <c r="P42" s="61"/>
      <c r="Q42" s="61"/>
      <c r="R42" s="61"/>
      <c r="S42" s="9"/>
    </row>
    <row r="43" spans="2:19" x14ac:dyDescent="0.25">
      <c r="B43" s="20" t="s">
        <v>93</v>
      </c>
      <c r="C43" s="15"/>
      <c r="D43" s="16"/>
      <c r="E43" s="17"/>
      <c r="F43" s="16"/>
      <c r="G43" s="17"/>
      <c r="H43" s="19"/>
      <c r="I43" s="42"/>
      <c r="K43" s="22"/>
      <c r="S43" s="23"/>
    </row>
    <row r="44" spans="2:19" x14ac:dyDescent="0.25">
      <c r="B44" s="22" t="s">
        <v>94</v>
      </c>
      <c r="C44" s="23"/>
      <c r="D44" s="24" t="s">
        <v>95</v>
      </c>
      <c r="E44" s="5" t="s">
        <v>96</v>
      </c>
      <c r="F44" s="24" t="s">
        <v>97</v>
      </c>
      <c r="G44" s="5" t="s">
        <v>98</v>
      </c>
      <c r="H44" s="26" t="s">
        <v>99</v>
      </c>
      <c r="I44" s="42"/>
      <c r="K44" s="22"/>
      <c r="S44" s="23"/>
    </row>
    <row r="45" spans="2:19" x14ac:dyDescent="0.25">
      <c r="B45" s="22"/>
      <c r="C45" s="23" t="s">
        <v>100</v>
      </c>
      <c r="D45" s="278">
        <v>1</v>
      </c>
      <c r="E45" s="42">
        <v>150000</v>
      </c>
      <c r="F45" s="279">
        <v>0</v>
      </c>
      <c r="G45" s="280">
        <v>0.4</v>
      </c>
      <c r="H45" s="26">
        <f t="shared" ref="H45:H50" si="0">D45*E45*(1+F45)*(1+G45)</f>
        <v>210000</v>
      </c>
      <c r="I45" s="42"/>
      <c r="K45" s="22"/>
      <c r="L45" s="29"/>
      <c r="S45" s="23"/>
    </row>
    <row r="46" spans="2:19" x14ac:dyDescent="0.25">
      <c r="B46" s="22"/>
      <c r="C46" s="23" t="s">
        <v>101</v>
      </c>
      <c r="D46" s="278">
        <v>10</v>
      </c>
      <c r="E46" s="42">
        <f>L46*40*52</f>
        <v>69680</v>
      </c>
      <c r="F46" s="279">
        <v>0.3</v>
      </c>
      <c r="G46" s="280">
        <v>0.4</v>
      </c>
      <c r="H46" s="26">
        <f t="shared" si="0"/>
        <v>1268176</v>
      </c>
      <c r="I46" s="42"/>
      <c r="K46" s="22"/>
      <c r="L46" s="277">
        <v>33.5</v>
      </c>
      <c r="M46" s="4" t="s">
        <v>114</v>
      </c>
      <c r="S46" s="23"/>
    </row>
    <row r="47" spans="2:19" x14ac:dyDescent="0.25">
      <c r="B47" s="22"/>
      <c r="C47" s="23" t="s">
        <v>102</v>
      </c>
      <c r="D47" s="278">
        <v>1</v>
      </c>
      <c r="E47" s="42">
        <f>L47*40*52</f>
        <v>72800</v>
      </c>
      <c r="F47" s="279">
        <v>0.2</v>
      </c>
      <c r="G47" s="280">
        <v>0.4</v>
      </c>
      <c r="H47" s="26">
        <f t="shared" si="0"/>
        <v>122303.99999999999</v>
      </c>
      <c r="I47" s="42"/>
      <c r="K47" s="22"/>
      <c r="L47" s="277">
        <v>35</v>
      </c>
      <c r="M47" s="4" t="s">
        <v>114</v>
      </c>
      <c r="S47" s="23"/>
    </row>
    <row r="48" spans="2:19" x14ac:dyDescent="0.25">
      <c r="B48" s="22"/>
      <c r="C48" s="23" t="s">
        <v>103</v>
      </c>
      <c r="D48" s="278">
        <v>1</v>
      </c>
      <c r="E48" s="42">
        <f>L48*40*52</f>
        <v>79040</v>
      </c>
      <c r="F48" s="279">
        <v>0.2</v>
      </c>
      <c r="G48" s="280">
        <v>0.4</v>
      </c>
      <c r="H48" s="26">
        <f t="shared" si="0"/>
        <v>132787.19999999998</v>
      </c>
      <c r="I48" s="42"/>
      <c r="K48" s="22"/>
      <c r="L48" s="277">
        <v>38</v>
      </c>
      <c r="M48" s="4" t="s">
        <v>114</v>
      </c>
      <c r="S48" s="23"/>
    </row>
    <row r="49" spans="2:19" x14ac:dyDescent="0.25">
      <c r="B49" s="22"/>
      <c r="C49" s="23" t="s">
        <v>104</v>
      </c>
      <c r="D49" s="278">
        <v>2</v>
      </c>
      <c r="E49" s="42">
        <f>L49*40*52</f>
        <v>59280</v>
      </c>
      <c r="F49" s="279">
        <v>0.2</v>
      </c>
      <c r="G49" s="280">
        <v>0.4</v>
      </c>
      <c r="H49" s="26">
        <f t="shared" si="0"/>
        <v>199180.79999999999</v>
      </c>
      <c r="I49" s="42"/>
      <c r="K49" s="22"/>
      <c r="L49" s="277">
        <v>28.5</v>
      </c>
      <c r="M49" s="4" t="s">
        <v>114</v>
      </c>
      <c r="S49" s="23"/>
    </row>
    <row r="50" spans="2:19" x14ac:dyDescent="0.25">
      <c r="B50" s="22"/>
      <c r="C50" s="23" t="s">
        <v>105</v>
      </c>
      <c r="D50" s="278">
        <v>2</v>
      </c>
      <c r="E50" s="42">
        <f>L50*40*52</f>
        <v>49920</v>
      </c>
      <c r="F50" s="279">
        <v>0.2</v>
      </c>
      <c r="G50" s="280">
        <v>0.4</v>
      </c>
      <c r="H50" s="26">
        <f t="shared" si="0"/>
        <v>167731.19999999998</v>
      </c>
      <c r="I50" s="42"/>
      <c r="K50" s="22"/>
      <c r="L50" s="277">
        <v>24</v>
      </c>
      <c r="M50" s="4" t="s">
        <v>114</v>
      </c>
      <c r="S50" s="23"/>
    </row>
    <row r="51" spans="2:19" x14ac:dyDescent="0.25">
      <c r="B51" s="22"/>
      <c r="C51" s="23" t="s">
        <v>106</v>
      </c>
      <c r="D51" s="24">
        <f>SUM(D45:D50)</f>
        <v>17</v>
      </c>
      <c r="E51" s="42">
        <f>(D45*E45+D46*E46+D47*E47+D48*E48+D49*E49+D50*E50)/D51</f>
        <v>71590.588235294112</v>
      </c>
      <c r="F51" s="43">
        <f>(D45*F45+D46*F46+D47*F47+D48*F48+D49*F49+D50*F50)/D51</f>
        <v>0.24705882352941178</v>
      </c>
      <c r="G51" s="44">
        <v>0.4</v>
      </c>
      <c r="H51" s="26">
        <f>SUM(H45:H50)</f>
        <v>2100179.2000000002</v>
      </c>
      <c r="I51" s="42"/>
      <c r="K51" s="22"/>
      <c r="S51" s="23"/>
    </row>
    <row r="52" spans="2:19" x14ac:dyDescent="0.25">
      <c r="B52" s="22"/>
      <c r="C52" s="23"/>
      <c r="D52" s="24"/>
      <c r="E52" s="5"/>
      <c r="F52" s="24"/>
      <c r="G52" s="5"/>
      <c r="H52" s="26"/>
      <c r="I52" s="42"/>
      <c r="K52" s="22"/>
      <c r="S52" s="23"/>
    </row>
    <row r="53" spans="2:19" x14ac:dyDescent="0.25">
      <c r="B53" s="22" t="s">
        <v>107</v>
      </c>
      <c r="C53" s="23"/>
      <c r="D53" s="24"/>
      <c r="E53" s="5"/>
      <c r="F53" s="24" t="s">
        <v>108</v>
      </c>
      <c r="G53" s="5"/>
      <c r="H53" s="26" t="s">
        <v>99</v>
      </c>
      <c r="I53" s="42"/>
      <c r="K53" s="22"/>
      <c r="S53" s="23"/>
    </row>
    <row r="54" spans="2:19" x14ac:dyDescent="0.25">
      <c r="B54" s="22"/>
      <c r="C54" s="23"/>
      <c r="D54" s="24"/>
      <c r="E54" s="5"/>
      <c r="F54" s="43">
        <v>0.75</v>
      </c>
      <c r="G54" s="5"/>
      <c r="H54" s="26">
        <f>H51*F54</f>
        <v>1575134.4000000001</v>
      </c>
      <c r="I54" s="42"/>
      <c r="K54" s="22"/>
      <c r="S54" s="23"/>
    </row>
    <row r="55" spans="2:19" x14ac:dyDescent="0.25">
      <c r="B55" s="22"/>
      <c r="C55" s="23"/>
      <c r="D55" s="24"/>
      <c r="E55" s="5"/>
      <c r="F55" s="24"/>
      <c r="G55" s="5"/>
      <c r="H55" s="26"/>
      <c r="I55" s="42"/>
      <c r="K55" s="22"/>
      <c r="S55" s="23"/>
    </row>
    <row r="56" spans="2:19" x14ac:dyDescent="0.25">
      <c r="B56" s="30" t="s">
        <v>109</v>
      </c>
      <c r="C56" s="31"/>
      <c r="D56" s="45"/>
      <c r="E56" s="33"/>
      <c r="F56" s="45"/>
      <c r="G56" s="33"/>
      <c r="H56" s="35">
        <f>H51+H54</f>
        <v>3675313.6000000006</v>
      </c>
      <c r="I56" s="64"/>
      <c r="K56" s="22"/>
      <c r="S56" s="23"/>
    </row>
    <row r="57" spans="2:19" ht="7.5" customHeight="1" x14ac:dyDescent="0.25">
      <c r="B57" s="22"/>
      <c r="C57" s="23"/>
      <c r="D57" s="24"/>
      <c r="E57" s="5"/>
      <c r="F57" s="24"/>
      <c r="G57" s="5"/>
      <c r="H57" s="26"/>
      <c r="I57" s="42"/>
      <c r="K57" s="14"/>
      <c r="L57" s="69"/>
      <c r="M57" s="69"/>
      <c r="N57" s="69"/>
      <c r="O57" s="69"/>
      <c r="P57" s="69"/>
      <c r="Q57" s="69"/>
      <c r="R57" s="69"/>
      <c r="S57" s="15"/>
    </row>
    <row r="58" spans="2:19" x14ac:dyDescent="0.25">
      <c r="B58" s="46" t="s">
        <v>110</v>
      </c>
      <c r="C58" s="47"/>
      <c r="D58" s="48"/>
      <c r="E58" s="49"/>
      <c r="F58" s="48"/>
      <c r="G58" s="49"/>
      <c r="H58" s="50">
        <f>H41+H56</f>
        <v>21429405.980419144</v>
      </c>
      <c r="I58" s="64"/>
      <c r="K58" s="22"/>
      <c r="S58" s="23"/>
    </row>
    <row r="59" spans="2:19" x14ac:dyDescent="0.25">
      <c r="B59" s="51"/>
      <c r="C59" s="52" t="s">
        <v>111</v>
      </c>
      <c r="D59" s="53"/>
      <c r="E59" s="54"/>
      <c r="F59" s="53"/>
      <c r="G59" s="54"/>
      <c r="H59" s="55">
        <f>H58/B4/1000/365</f>
        <v>0.30465128132194819</v>
      </c>
      <c r="I59" s="28"/>
      <c r="J59" s="4" t="s">
        <v>19</v>
      </c>
      <c r="K59" s="51"/>
      <c r="L59" s="60"/>
      <c r="M59" s="60"/>
      <c r="N59" s="60"/>
      <c r="O59" s="60"/>
      <c r="P59" s="60"/>
      <c r="Q59" s="60"/>
      <c r="R59" s="60"/>
      <c r="S59" s="52"/>
    </row>
    <row r="60" spans="2:19" x14ac:dyDescent="0.25">
      <c r="B60" s="22"/>
      <c r="C60" s="4" t="s">
        <v>117</v>
      </c>
      <c r="E60" s="156">
        <f>E13+E18+E22+E25+E26+E28+E31</f>
        <v>240.73447266974387</v>
      </c>
      <c r="F60" s="4" t="s">
        <v>44</v>
      </c>
      <c r="H60" s="150">
        <f>H13+H18+H22+H25+H26+H28+H31</f>
        <v>8361576.1518649012</v>
      </c>
    </row>
    <row r="61" spans="2:19" x14ac:dyDescent="0.25">
      <c r="B61" s="22"/>
      <c r="E61" s="4">
        <f>E60*24</f>
        <v>5777.6273440738532</v>
      </c>
      <c r="F61" s="4" t="s">
        <v>118</v>
      </c>
      <c r="H61" s="23"/>
    </row>
    <row r="62" spans="2:19" x14ac:dyDescent="0.25">
      <c r="B62" s="51"/>
      <c r="C62" s="60"/>
      <c r="D62" s="60"/>
      <c r="E62" s="157">
        <f>E61/B4/'Design Basis'!B22</f>
        <v>2.3793263130759669E-2</v>
      </c>
      <c r="F62" s="60" t="s">
        <v>119</v>
      </c>
      <c r="G62" s="60"/>
      <c r="H62" s="52"/>
    </row>
    <row r="63" spans="2:19" ht="6" customHeight="1" x14ac:dyDescent="0.25">
      <c r="B63" s="22"/>
      <c r="C63" s="23"/>
      <c r="D63" s="24"/>
      <c r="E63" s="5"/>
      <c r="F63" s="24"/>
      <c r="G63" s="5"/>
      <c r="H63" s="26"/>
    </row>
    <row r="64" spans="2:19" x14ac:dyDescent="0.25">
      <c r="B64" s="46" t="s">
        <v>110</v>
      </c>
      <c r="C64" s="47"/>
      <c r="D64" s="48"/>
      <c r="E64" s="49"/>
      <c r="F64" s="48"/>
      <c r="G64" s="49"/>
      <c r="H64" s="50">
        <f>H58-H60</f>
        <v>13067829.828554243</v>
      </c>
    </row>
    <row r="65" spans="2:8" x14ac:dyDescent="0.25">
      <c r="B65" s="51"/>
      <c r="C65" s="52" t="s">
        <v>111</v>
      </c>
      <c r="D65" s="53"/>
      <c r="E65" s="54"/>
      <c r="F65" s="53"/>
      <c r="G65" s="54"/>
      <c r="H65" s="55">
        <f>H64/B4/1000/265</f>
        <v>0.25588412154465318</v>
      </c>
    </row>
    <row r="68" spans="2:8" x14ac:dyDescent="0.25">
      <c r="B68" s="62"/>
    </row>
  </sheetData>
  <printOptions horizontalCentered="1"/>
  <pageMargins left="0.7" right="0.7" top="0.5" bottom="0.5" header="0.3" footer="0.3"/>
  <pageSetup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K75"/>
  <sheetViews>
    <sheetView workbookViewId="0">
      <selection activeCell="H47" sqref="H47"/>
    </sheetView>
  </sheetViews>
  <sheetFormatPr defaultColWidth="9.140625" defaultRowHeight="15" x14ac:dyDescent="0.25"/>
  <cols>
    <col min="1" max="1" width="4.28515625" style="4" customWidth="1"/>
    <col min="2" max="2" width="9.140625" style="4"/>
    <col min="3" max="3" width="30" style="4" customWidth="1"/>
    <col min="4" max="4" width="10.140625" style="4" customWidth="1"/>
    <col min="5" max="5" width="9.42578125" style="4" customWidth="1"/>
    <col min="6" max="6" width="10.140625" style="4" customWidth="1"/>
    <col min="7" max="8" width="10.85546875" style="4" customWidth="1"/>
    <col min="9" max="9" width="14.28515625" style="4" customWidth="1"/>
    <col min="10" max="10" width="2.7109375" style="4" customWidth="1"/>
    <col min="11" max="11" width="3.5703125" style="4" customWidth="1"/>
    <col min="12" max="12" width="8.42578125" style="4" customWidth="1"/>
    <col min="13" max="13" width="6.7109375" style="4" customWidth="1"/>
    <col min="14" max="14" width="8" style="4" customWidth="1"/>
    <col min="15" max="15" width="9.140625" style="4"/>
    <col min="16" max="16" width="4.5703125" style="4" customWidth="1"/>
    <col min="17" max="17" width="11.85546875" style="4" customWidth="1"/>
    <col min="18" max="18" width="8.7109375" style="4" customWidth="1"/>
    <col min="19" max="19" width="7.28515625" style="4" customWidth="1"/>
    <col min="20" max="20" width="11.7109375" style="4" customWidth="1"/>
    <col min="21" max="31" width="9.140625" style="4"/>
    <col min="32" max="38" width="0" style="4" hidden="1" customWidth="1"/>
    <col min="39" max="16384" width="9.140625" style="4"/>
  </cols>
  <sheetData>
    <row r="1" spans="2:20" x14ac:dyDescent="0.25">
      <c r="D1" s="6" t="s">
        <v>378</v>
      </c>
    </row>
    <row r="2" spans="2:20" x14ac:dyDescent="0.25">
      <c r="D2" s="6"/>
    </row>
    <row r="3" spans="2:20" x14ac:dyDescent="0.25">
      <c r="B3" s="284" t="s">
        <v>217</v>
      </c>
      <c r="D3" s="4" t="s">
        <v>322</v>
      </c>
    </row>
    <row r="4" spans="2:20" x14ac:dyDescent="0.25">
      <c r="D4" s="89">
        <f>'Design Basis'!B33</f>
        <v>200</v>
      </c>
      <c r="E4" s="4" t="s">
        <v>323</v>
      </c>
      <c r="I4" s="25"/>
      <c r="J4" s="7"/>
    </row>
    <row r="5" spans="2:20" x14ac:dyDescent="0.25">
      <c r="D5" s="243">
        <v>1000</v>
      </c>
      <c r="E5" s="4" t="s">
        <v>324</v>
      </c>
      <c r="I5" s="25">
        <f>'Hp Est Tool'!Q84</f>
        <v>33000</v>
      </c>
      <c r="J5" s="7" t="s">
        <v>325</v>
      </c>
    </row>
    <row r="6" spans="2:20" x14ac:dyDescent="0.25">
      <c r="D6" s="243">
        <v>1000</v>
      </c>
      <c r="E6" s="4" t="s">
        <v>326</v>
      </c>
      <c r="I6" s="25">
        <f>I4+I5</f>
        <v>33000</v>
      </c>
      <c r="J6" s="7" t="s">
        <v>54</v>
      </c>
    </row>
    <row r="7" spans="2:20" x14ac:dyDescent="0.25">
      <c r="D7" s="28">
        <f>'Plant Op Exp'!M4</f>
        <v>0.125</v>
      </c>
      <c r="E7" s="7" t="s">
        <v>327</v>
      </c>
    </row>
    <row r="8" spans="2:20" x14ac:dyDescent="0.25">
      <c r="D8" s="28">
        <f>'Plant Op Exp'!Q4</f>
        <v>3.5</v>
      </c>
      <c r="E8" s="7" t="s">
        <v>328</v>
      </c>
    </row>
    <row r="9" spans="2:20" x14ac:dyDescent="0.25">
      <c r="D9" s="175">
        <f>('Gathering Drwg'!I22+'Gathering Drwg'!I24)*D11</f>
        <v>370</v>
      </c>
      <c r="E9" s="7" t="s">
        <v>329</v>
      </c>
    </row>
    <row r="10" spans="2:20" x14ac:dyDescent="0.25">
      <c r="D10" s="25">
        <f>'Gathering Drwg'!E30*D11+D11</f>
        <v>488</v>
      </c>
      <c r="E10" s="7" t="s">
        <v>330</v>
      </c>
    </row>
    <row r="11" spans="2:20" x14ac:dyDescent="0.25">
      <c r="D11" s="175">
        <f>'Gathering Drwg'!I21</f>
        <v>8</v>
      </c>
      <c r="E11" s="7" t="s">
        <v>331</v>
      </c>
    </row>
    <row r="12" spans="2:20" x14ac:dyDescent="0.25">
      <c r="D12" s="25"/>
      <c r="E12" s="7"/>
    </row>
    <row r="13" spans="2:20" ht="30" x14ac:dyDescent="0.25">
      <c r="B13" s="8" t="s">
        <v>55</v>
      </c>
      <c r="C13" s="9"/>
      <c r="D13" s="10" t="s">
        <v>41</v>
      </c>
      <c r="E13" s="11" t="s">
        <v>44</v>
      </c>
      <c r="F13" s="10" t="s">
        <v>56</v>
      </c>
      <c r="G13" s="12" t="s">
        <v>57</v>
      </c>
      <c r="H13" s="137" t="s">
        <v>332</v>
      </c>
      <c r="I13" s="13" t="s">
        <v>58</v>
      </c>
      <c r="J13" s="42"/>
      <c r="L13" s="8"/>
      <c r="M13" s="61"/>
      <c r="N13" s="61"/>
      <c r="O13" s="61" t="s">
        <v>333</v>
      </c>
      <c r="P13" s="61"/>
      <c r="Q13" s="61"/>
      <c r="R13" s="61"/>
      <c r="S13" s="61"/>
      <c r="T13" s="9"/>
    </row>
    <row r="14" spans="2:20" x14ac:dyDescent="0.25">
      <c r="B14" s="14"/>
      <c r="C14" s="15"/>
      <c r="D14" s="16"/>
      <c r="E14" s="17"/>
      <c r="F14" s="16"/>
      <c r="G14" s="18"/>
      <c r="H14" s="138"/>
      <c r="I14" s="19"/>
      <c r="J14" s="42"/>
      <c r="L14" s="8"/>
      <c r="M14" s="61"/>
      <c r="N14" s="61"/>
      <c r="O14" s="61"/>
      <c r="P14" s="61"/>
      <c r="Q14" s="61"/>
      <c r="R14" s="61"/>
      <c r="S14" s="61"/>
      <c r="T14" s="9"/>
    </row>
    <row r="15" spans="2:20" ht="15.75" x14ac:dyDescent="0.25">
      <c r="B15" s="139" t="s">
        <v>60</v>
      </c>
      <c r="C15" s="15"/>
      <c r="D15" s="16"/>
      <c r="E15" s="21"/>
      <c r="F15" s="16"/>
      <c r="G15" s="18"/>
      <c r="H15" s="138"/>
      <c r="I15" s="19"/>
      <c r="J15" s="42"/>
      <c r="L15" s="14"/>
      <c r="M15" s="69"/>
      <c r="N15" s="69"/>
      <c r="O15" s="69"/>
      <c r="P15" s="69"/>
      <c r="Q15" s="69"/>
      <c r="R15" s="69"/>
      <c r="S15" s="69"/>
      <c r="T15" s="15"/>
    </row>
    <row r="16" spans="2:20" x14ac:dyDescent="0.25">
      <c r="B16" s="140"/>
      <c r="C16" s="23"/>
      <c r="D16" s="24"/>
      <c r="E16" s="25"/>
      <c r="F16" s="24"/>
      <c r="G16" s="141"/>
      <c r="H16" s="142"/>
      <c r="I16" s="26"/>
      <c r="J16" s="42"/>
      <c r="L16" s="22"/>
      <c r="T16" s="23"/>
    </row>
    <row r="17" spans="2:20" x14ac:dyDescent="0.25">
      <c r="B17" s="140" t="s">
        <v>234</v>
      </c>
      <c r="C17" s="23"/>
      <c r="D17" s="24"/>
      <c r="E17" s="25"/>
      <c r="F17" s="24"/>
      <c r="G17" s="141"/>
      <c r="H17" s="142"/>
      <c r="I17" s="26"/>
      <c r="J17" s="42"/>
      <c r="L17" s="22"/>
      <c r="T17" s="23"/>
    </row>
    <row r="18" spans="2:20" x14ac:dyDescent="0.25">
      <c r="B18" s="22" t="s">
        <v>391</v>
      </c>
      <c r="C18" s="23"/>
      <c r="D18" s="24"/>
      <c r="E18" s="25"/>
      <c r="F18" s="24"/>
      <c r="G18" s="141"/>
      <c r="H18" s="143">
        <f>L18</f>
        <v>488</v>
      </c>
      <c r="I18" s="26">
        <f>O18*R18*L18</f>
        <v>39040</v>
      </c>
      <c r="J18" s="42"/>
      <c r="L18" s="144">
        <f>D10</f>
        <v>488</v>
      </c>
      <c r="M18" s="4" t="s">
        <v>334</v>
      </c>
      <c r="O18" s="287">
        <v>20</v>
      </c>
      <c r="P18" s="4" t="s">
        <v>335</v>
      </c>
      <c r="R18" s="274">
        <v>4</v>
      </c>
      <c r="S18" s="4" t="s">
        <v>336</v>
      </c>
      <c r="T18" s="23"/>
    </row>
    <row r="19" spans="2:20" x14ac:dyDescent="0.25">
      <c r="B19" s="22" t="s">
        <v>392</v>
      </c>
      <c r="C19" s="23"/>
      <c r="D19" s="24"/>
      <c r="E19" s="25"/>
      <c r="F19" s="24"/>
      <c r="G19" s="141"/>
      <c r="H19" s="143">
        <f>H18</f>
        <v>488</v>
      </c>
      <c r="I19" s="26">
        <f>L19*O19</f>
        <v>244000</v>
      </c>
      <c r="J19" s="42"/>
      <c r="L19" s="144">
        <f>L18</f>
        <v>488</v>
      </c>
      <c r="M19" s="4" t="s">
        <v>334</v>
      </c>
      <c r="O19" s="287">
        <v>500</v>
      </c>
      <c r="P19" s="4" t="s">
        <v>393</v>
      </c>
      <c r="R19"/>
      <c r="T19" s="23"/>
    </row>
    <row r="20" spans="2:20" x14ac:dyDescent="0.25">
      <c r="B20" s="140"/>
      <c r="C20" s="23"/>
      <c r="D20" s="24"/>
      <c r="E20" s="25"/>
      <c r="F20" s="24"/>
      <c r="G20" s="141"/>
      <c r="H20" s="142"/>
      <c r="I20" s="26"/>
      <c r="J20" s="42"/>
      <c r="L20" s="22"/>
      <c r="T20" s="23"/>
    </row>
    <row r="21" spans="2:20" x14ac:dyDescent="0.25">
      <c r="B21" s="22" t="s">
        <v>337</v>
      </c>
      <c r="C21" s="23"/>
      <c r="D21" s="24"/>
      <c r="E21" s="25"/>
      <c r="F21" s="24"/>
      <c r="G21" s="141"/>
      <c r="H21" s="143">
        <f>L21/7</f>
        <v>52.857142857142854</v>
      </c>
      <c r="I21" s="26">
        <f>H21*O21/7</f>
        <v>75510.204081632648</v>
      </c>
      <c r="J21" s="42"/>
      <c r="L21" s="144">
        <f>D9</f>
        <v>370</v>
      </c>
      <c r="M21" s="4" t="s">
        <v>338</v>
      </c>
      <c r="O21" s="287">
        <v>10000</v>
      </c>
      <c r="Q21" s="4" t="s">
        <v>339</v>
      </c>
      <c r="T21" s="23"/>
    </row>
    <row r="22" spans="2:20" hidden="1" x14ac:dyDescent="0.25">
      <c r="B22" s="22" t="s">
        <v>340</v>
      </c>
      <c r="C22" s="23"/>
      <c r="D22" s="56"/>
      <c r="E22" s="57"/>
      <c r="F22" s="56"/>
      <c r="G22" s="58"/>
      <c r="H22" s="92"/>
      <c r="I22" s="70"/>
      <c r="L22" s="22"/>
      <c r="T22" s="23"/>
    </row>
    <row r="23" spans="2:20" hidden="1" x14ac:dyDescent="0.25">
      <c r="B23" s="22"/>
      <c r="C23" s="23" t="s">
        <v>341</v>
      </c>
      <c r="D23" s="136">
        <v>0</v>
      </c>
      <c r="E23" s="57">
        <f>D23*0.008</f>
        <v>0</v>
      </c>
      <c r="F23" s="56"/>
      <c r="G23" s="58">
        <f>D8</f>
        <v>3.5</v>
      </c>
      <c r="H23" s="145" t="e">
        <f>#REF!</f>
        <v>#REF!</v>
      </c>
      <c r="I23" s="70" t="e">
        <f>E23*G23*24*365*H23</f>
        <v>#REF!</v>
      </c>
      <c r="L23" s="22"/>
      <c r="T23" s="23"/>
    </row>
    <row r="24" spans="2:20" hidden="1" x14ac:dyDescent="0.25">
      <c r="B24" s="22"/>
      <c r="C24" s="23" t="s">
        <v>342</v>
      </c>
      <c r="D24" s="56"/>
      <c r="E24" s="57"/>
      <c r="F24" s="56">
        <f>D23*0.746</f>
        <v>0</v>
      </c>
      <c r="G24" s="58">
        <f>D7</f>
        <v>0.125</v>
      </c>
      <c r="H24" s="146">
        <v>0</v>
      </c>
      <c r="I24" s="70">
        <f>G24*F24*24*365*H24</f>
        <v>0</v>
      </c>
      <c r="L24" s="22"/>
      <c r="M24" s="4" t="s">
        <v>19</v>
      </c>
      <c r="T24" s="23"/>
    </row>
    <row r="25" spans="2:20" hidden="1" x14ac:dyDescent="0.25">
      <c r="B25" s="22"/>
      <c r="C25" s="23" t="s">
        <v>62</v>
      </c>
      <c r="D25" s="56">
        <v>10</v>
      </c>
      <c r="E25" s="57"/>
      <c r="F25" s="56">
        <f>D25*0.746</f>
        <v>7.46</v>
      </c>
      <c r="G25" s="58">
        <f>D7</f>
        <v>0.125</v>
      </c>
      <c r="H25" s="146">
        <v>0</v>
      </c>
      <c r="I25" s="70">
        <f>F25*G25*24*365*H25</f>
        <v>0</v>
      </c>
      <c r="J25" s="63"/>
      <c r="L25" s="22" t="s">
        <v>19</v>
      </c>
      <c r="M25" s="5" t="s">
        <v>19</v>
      </c>
      <c r="T25" s="23"/>
    </row>
    <row r="26" spans="2:20" hidden="1" x14ac:dyDescent="0.25">
      <c r="B26" s="22"/>
      <c r="C26" s="23" t="s">
        <v>343</v>
      </c>
      <c r="D26" s="56">
        <v>0</v>
      </c>
      <c r="E26" s="57">
        <f>D26*0.008</f>
        <v>0</v>
      </c>
      <c r="F26" s="56" t="s">
        <v>19</v>
      </c>
      <c r="G26" s="58">
        <f>D8</f>
        <v>3.5</v>
      </c>
      <c r="H26" s="145" t="e">
        <f>#REF!</f>
        <v>#REF!</v>
      </c>
      <c r="I26" s="70" t="e">
        <f>E26*G26*24*365*H26</f>
        <v>#REF!</v>
      </c>
      <c r="J26" s="63"/>
      <c r="L26" s="122">
        <v>50</v>
      </c>
      <c r="M26" s="4" t="s">
        <v>344</v>
      </c>
      <c r="O26" s="125">
        <v>150</v>
      </c>
      <c r="P26" s="4" t="s">
        <v>65</v>
      </c>
      <c r="T26" s="23"/>
    </row>
    <row r="27" spans="2:20" hidden="1" x14ac:dyDescent="0.25">
      <c r="B27" s="22"/>
      <c r="C27" s="23" t="s">
        <v>345</v>
      </c>
      <c r="D27" s="56"/>
      <c r="E27" s="57"/>
      <c r="F27" s="56">
        <f>D26*0.746</f>
        <v>0</v>
      </c>
      <c r="G27" s="58">
        <f>D7</f>
        <v>0.125</v>
      </c>
      <c r="H27" s="146">
        <v>0</v>
      </c>
      <c r="I27" s="70">
        <f>G27*F27*24*365*H27</f>
        <v>0</v>
      </c>
      <c r="J27" s="63"/>
      <c r="L27" s="22"/>
      <c r="T27" s="23"/>
    </row>
    <row r="28" spans="2:20" x14ac:dyDescent="0.25">
      <c r="B28" s="22" t="s">
        <v>346</v>
      </c>
      <c r="C28" s="23"/>
      <c r="D28" s="56"/>
      <c r="E28" s="57"/>
      <c r="F28" s="56"/>
      <c r="G28" s="58"/>
      <c r="H28" s="92"/>
      <c r="I28" s="70"/>
      <c r="L28" s="22"/>
      <c r="T28" s="23"/>
    </row>
    <row r="29" spans="2:20" x14ac:dyDescent="0.25">
      <c r="B29" s="22"/>
      <c r="C29" s="23" t="s">
        <v>341</v>
      </c>
      <c r="D29" s="56">
        <f>I5/D11</f>
        <v>4125</v>
      </c>
      <c r="E29" s="57">
        <f>'Hp Est Tool'!Q15/24/D11</f>
        <v>41.25</v>
      </c>
      <c r="F29" s="56"/>
      <c r="G29" s="58">
        <f>D8</f>
        <v>3.5</v>
      </c>
      <c r="H29" s="145">
        <f>D11</f>
        <v>8</v>
      </c>
      <c r="I29" s="70">
        <f>E29*G29*24*365*H29</f>
        <v>10117800</v>
      </c>
      <c r="L29" s="22"/>
      <c r="T29" s="23"/>
    </row>
    <row r="30" spans="2:20" x14ac:dyDescent="0.25">
      <c r="B30" s="22"/>
      <c r="C30" s="23" t="s">
        <v>342</v>
      </c>
      <c r="D30" s="56"/>
      <c r="E30" s="57"/>
      <c r="F30" s="56">
        <f>D29*0.746</f>
        <v>3077.25</v>
      </c>
      <c r="G30" s="58">
        <f>D7</f>
        <v>0.125</v>
      </c>
      <c r="H30" s="288">
        <v>0</v>
      </c>
      <c r="I30" s="70">
        <f>G30*F30*24*365*H30</f>
        <v>0</v>
      </c>
      <c r="L30" s="22"/>
      <c r="M30" s="4" t="s">
        <v>19</v>
      </c>
      <c r="T30" s="23"/>
    </row>
    <row r="31" spans="2:20" x14ac:dyDescent="0.25">
      <c r="B31" s="22"/>
      <c r="C31" s="23" t="s">
        <v>62</v>
      </c>
      <c r="D31" s="281">
        <v>10</v>
      </c>
      <c r="E31" s="57"/>
      <c r="F31" s="56">
        <f>D31*0.746</f>
        <v>7.46</v>
      </c>
      <c r="G31" s="58">
        <f>D7</f>
        <v>0.125</v>
      </c>
      <c r="H31" s="145">
        <f>H29</f>
        <v>8</v>
      </c>
      <c r="I31" s="70">
        <f>F31*G31*24*365*H31</f>
        <v>65349.599999999999</v>
      </c>
      <c r="J31" s="63"/>
      <c r="L31" s="22" t="s">
        <v>358</v>
      </c>
      <c r="M31" s="5"/>
      <c r="T31" s="23"/>
    </row>
    <row r="32" spans="2:20" x14ac:dyDescent="0.25">
      <c r="B32" s="22"/>
      <c r="C32" s="23" t="s">
        <v>343</v>
      </c>
      <c r="D32" s="56">
        <f>O32*L32/1000</f>
        <v>15</v>
      </c>
      <c r="E32" s="57">
        <f>D32*0.008</f>
        <v>0.12</v>
      </c>
      <c r="F32" s="56" t="s">
        <v>19</v>
      </c>
      <c r="G32" s="58">
        <f>D8</f>
        <v>3.5</v>
      </c>
      <c r="H32" s="145">
        <f>D11</f>
        <v>8</v>
      </c>
      <c r="I32" s="70">
        <f>E32*G32*24*365*H32</f>
        <v>29433.599999999999</v>
      </c>
      <c r="J32" s="63"/>
      <c r="L32" s="276">
        <v>100</v>
      </c>
      <c r="M32" s="4" t="s">
        <v>344</v>
      </c>
      <c r="O32" s="274">
        <v>150</v>
      </c>
      <c r="P32" s="4" t="s">
        <v>65</v>
      </c>
      <c r="T32" s="23"/>
    </row>
    <row r="33" spans="2:37" x14ac:dyDescent="0.25">
      <c r="B33" s="22"/>
      <c r="C33" s="23" t="s">
        <v>345</v>
      </c>
      <c r="D33" s="56"/>
      <c r="E33" s="57"/>
      <c r="F33" s="56">
        <f>D32*0.746</f>
        <v>11.19</v>
      </c>
      <c r="G33" s="58">
        <f>D7</f>
        <v>0.125</v>
      </c>
      <c r="H33" s="288">
        <v>0</v>
      </c>
      <c r="I33" s="70">
        <f>G33*F33*24*365*H33</f>
        <v>0</v>
      </c>
      <c r="J33" s="63"/>
      <c r="L33" s="22"/>
      <c r="T33" s="23"/>
    </row>
    <row r="34" spans="2:37" x14ac:dyDescent="0.25">
      <c r="B34" s="22" t="s">
        <v>347</v>
      </c>
      <c r="C34" s="23"/>
      <c r="D34" s="56"/>
      <c r="E34" s="57"/>
      <c r="F34" s="56"/>
      <c r="G34" s="58"/>
      <c r="H34" s="92"/>
      <c r="I34" s="70"/>
      <c r="J34" s="63"/>
      <c r="L34" s="22"/>
      <c r="T34" s="23"/>
    </row>
    <row r="35" spans="2:37" x14ac:dyDescent="0.25">
      <c r="B35" s="22"/>
      <c r="C35" s="23" t="s">
        <v>69</v>
      </c>
      <c r="D35" s="56"/>
      <c r="E35" s="57"/>
      <c r="F35" s="56"/>
      <c r="G35" s="58"/>
      <c r="H35" s="288">
        <v>0</v>
      </c>
      <c r="I35" s="70">
        <f>N35*Q35*H35</f>
        <v>0</v>
      </c>
      <c r="J35" s="63"/>
      <c r="L35" s="276">
        <v>5000</v>
      </c>
      <c r="M35" s="4" t="s">
        <v>70</v>
      </c>
      <c r="N35" s="59">
        <f>L35*S35/2200</f>
        <v>19.09090909090909</v>
      </c>
      <c r="O35" s="4" t="s">
        <v>71</v>
      </c>
      <c r="Q35" s="277">
        <v>1600</v>
      </c>
      <c r="R35" s="4" t="s">
        <v>72</v>
      </c>
      <c r="S35" s="4">
        <v>8.4</v>
      </c>
      <c r="T35" s="23" t="s">
        <v>79</v>
      </c>
    </row>
    <row r="36" spans="2:37" x14ac:dyDescent="0.25">
      <c r="B36" s="22"/>
      <c r="C36" s="23" t="s">
        <v>62</v>
      </c>
      <c r="D36" s="56">
        <v>20</v>
      </c>
      <c r="E36" s="57"/>
      <c r="F36" s="56">
        <f>D36*0.746</f>
        <v>14.92</v>
      </c>
      <c r="G36" s="58">
        <f>D7</f>
        <v>0.125</v>
      </c>
      <c r="H36" s="288">
        <v>0</v>
      </c>
      <c r="I36" s="70">
        <f>F36*G36*24*365*H36</f>
        <v>0</v>
      </c>
      <c r="J36" s="63"/>
      <c r="L36" s="22"/>
      <c r="T36" s="23"/>
      <c r="AG36" s="4" t="s">
        <v>73</v>
      </c>
      <c r="AH36" s="4" t="s">
        <v>74</v>
      </c>
    </row>
    <row r="37" spans="2:37" x14ac:dyDescent="0.25">
      <c r="B37" s="22"/>
      <c r="C37" s="23" t="s">
        <v>63</v>
      </c>
      <c r="D37" s="56">
        <f>L37/100*O37</f>
        <v>150</v>
      </c>
      <c r="E37" s="57"/>
      <c r="F37" s="56">
        <f>D37*0.746</f>
        <v>111.9</v>
      </c>
      <c r="G37" s="58">
        <f>D7</f>
        <v>0.125</v>
      </c>
      <c r="H37" s="288">
        <v>0</v>
      </c>
      <c r="I37" s="70">
        <f>F37*G37*24*365*H37</f>
        <v>0</v>
      </c>
      <c r="J37" s="63"/>
      <c r="L37" s="276">
        <v>100</v>
      </c>
      <c r="M37" s="4" t="s">
        <v>344</v>
      </c>
      <c r="O37" s="274">
        <v>150</v>
      </c>
      <c r="P37" s="4" t="s">
        <v>65</v>
      </c>
      <c r="T37" s="23"/>
      <c r="AG37" s="4">
        <v>0.2</v>
      </c>
      <c r="AH37" s="4">
        <v>42</v>
      </c>
      <c r="AI37" s="4">
        <v>393.12</v>
      </c>
      <c r="AJ37" s="4">
        <v>1965.6</v>
      </c>
      <c r="AK37" s="4" t="s">
        <v>75</v>
      </c>
    </row>
    <row r="38" spans="2:37" x14ac:dyDescent="0.25">
      <c r="B38" s="22"/>
      <c r="C38" s="23" t="s">
        <v>76</v>
      </c>
      <c r="D38" s="56"/>
      <c r="E38" s="57">
        <v>10</v>
      </c>
      <c r="F38" s="56"/>
      <c r="G38" s="58">
        <f>D8</f>
        <v>3.5</v>
      </c>
      <c r="H38" s="288">
        <v>0</v>
      </c>
      <c r="I38" s="70">
        <f>E38*G38*24*365*H38</f>
        <v>0</v>
      </c>
      <c r="J38" s="63"/>
      <c r="L38" s="22"/>
      <c r="T38" s="23"/>
      <c r="AH38" s="4">
        <v>210</v>
      </c>
      <c r="AI38" s="4">
        <v>1965.6</v>
      </c>
    </row>
    <row r="39" spans="2:37" x14ac:dyDescent="0.25">
      <c r="B39" s="22" t="s">
        <v>348</v>
      </c>
      <c r="C39" s="23"/>
      <c r="D39" s="56"/>
      <c r="E39" s="57"/>
      <c r="F39" s="56"/>
      <c r="G39" s="58"/>
      <c r="H39" s="92"/>
      <c r="I39" s="70"/>
      <c r="J39" s="63"/>
      <c r="L39" s="22"/>
      <c r="T39" s="23"/>
      <c r="AH39" s="4" t="s">
        <v>78</v>
      </c>
    </row>
    <row r="40" spans="2:37" x14ac:dyDescent="0.25">
      <c r="B40" s="22"/>
      <c r="C40" s="23" t="s">
        <v>69</v>
      </c>
      <c r="D40" s="56"/>
      <c r="E40" s="57"/>
      <c r="F40" s="56"/>
      <c r="G40" s="58"/>
      <c r="H40" s="288">
        <v>0</v>
      </c>
      <c r="I40" s="70">
        <f>N40*Q40*H40</f>
        <v>0</v>
      </c>
      <c r="J40" s="63"/>
      <c r="L40" s="276">
        <v>5000</v>
      </c>
      <c r="M40" s="4" t="s">
        <v>70</v>
      </c>
      <c r="N40" s="59">
        <f>L40*S40/2200</f>
        <v>21.272727272727273</v>
      </c>
      <c r="O40" s="4" t="s">
        <v>71</v>
      </c>
      <c r="Q40" s="277">
        <v>1500</v>
      </c>
      <c r="R40" s="4" t="s">
        <v>72</v>
      </c>
      <c r="S40" s="4">
        <v>9.36</v>
      </c>
      <c r="T40" s="23" t="s">
        <v>79</v>
      </c>
    </row>
    <row r="41" spans="2:37" x14ac:dyDescent="0.25">
      <c r="B41" s="22"/>
      <c r="C41" s="23" t="s">
        <v>62</v>
      </c>
      <c r="D41" s="56">
        <v>20</v>
      </c>
      <c r="E41" s="57"/>
      <c r="F41" s="56">
        <f>D41*0.746</f>
        <v>14.92</v>
      </c>
      <c r="G41" s="58">
        <f>D7</f>
        <v>0.125</v>
      </c>
      <c r="H41" s="288">
        <v>0</v>
      </c>
      <c r="I41" s="70">
        <f>F41*G41*24*365*H41</f>
        <v>0</v>
      </c>
      <c r="J41" s="63"/>
      <c r="L41" s="22"/>
      <c r="T41" s="23"/>
    </row>
    <row r="42" spans="2:37" x14ac:dyDescent="0.25">
      <c r="B42" s="22"/>
      <c r="C42" s="23" t="s">
        <v>63</v>
      </c>
      <c r="D42" s="56">
        <f>L42/100*O42</f>
        <v>150</v>
      </c>
      <c r="E42" s="57"/>
      <c r="F42" s="56">
        <f>D42*0.746</f>
        <v>111.9</v>
      </c>
      <c r="G42" s="58">
        <f>D7</f>
        <v>0.125</v>
      </c>
      <c r="H42" s="288">
        <v>0</v>
      </c>
      <c r="I42" s="70">
        <f>F42*G42*24*365*H42</f>
        <v>0</v>
      </c>
      <c r="J42" s="63"/>
      <c r="L42" s="276">
        <v>100</v>
      </c>
      <c r="M42" s="4" t="s">
        <v>64</v>
      </c>
      <c r="O42" s="274">
        <v>150</v>
      </c>
      <c r="P42" s="4" t="s">
        <v>65</v>
      </c>
      <c r="T42" s="23"/>
    </row>
    <row r="43" spans="2:37" x14ac:dyDescent="0.25">
      <c r="B43" s="22"/>
      <c r="C43" s="23" t="s">
        <v>76</v>
      </c>
      <c r="D43" s="56"/>
      <c r="E43" s="57">
        <v>3.2</v>
      </c>
      <c r="F43" s="56"/>
      <c r="G43" s="58">
        <f>D8</f>
        <v>3.5</v>
      </c>
      <c r="H43" s="288">
        <v>0</v>
      </c>
      <c r="I43" s="70">
        <f>E43*G43*24*365*H43</f>
        <v>0</v>
      </c>
      <c r="J43" s="63"/>
      <c r="L43" s="22"/>
      <c r="T43" s="23"/>
    </row>
    <row r="44" spans="2:37" x14ac:dyDescent="0.25">
      <c r="B44" s="147" t="s">
        <v>349</v>
      </c>
      <c r="C44" s="23"/>
      <c r="D44" s="56"/>
      <c r="E44" s="57"/>
      <c r="F44" s="56"/>
      <c r="G44" s="58"/>
      <c r="H44" s="145"/>
      <c r="I44" s="148">
        <f>I18+I19+I21+I29+I30+I31+I32+I33+I35+I36+I37+I38+I40+I41+I42+I43</f>
        <v>10571133.404081631</v>
      </c>
      <c r="J44" s="63"/>
      <c r="L44" s="22"/>
      <c r="T44" s="23"/>
    </row>
    <row r="45" spans="2:37" x14ac:dyDescent="0.25">
      <c r="B45" s="140"/>
      <c r="C45" s="23"/>
      <c r="D45" s="24"/>
      <c r="E45" s="25"/>
      <c r="F45" s="24"/>
      <c r="G45" s="141"/>
      <c r="H45" s="142"/>
      <c r="I45" s="26"/>
      <c r="J45" s="42"/>
      <c r="L45" s="22"/>
      <c r="T45" s="23"/>
    </row>
    <row r="46" spans="2:37" x14ac:dyDescent="0.25">
      <c r="B46" s="22"/>
      <c r="C46" s="23"/>
      <c r="D46" s="27"/>
      <c r="E46" s="25"/>
      <c r="F46" s="24" t="s">
        <v>90</v>
      </c>
      <c r="G46" s="5"/>
      <c r="H46" s="24"/>
      <c r="I46" s="26"/>
      <c r="J46" s="42"/>
      <c r="K46" s="29"/>
      <c r="L46" s="22"/>
      <c r="T46" s="23"/>
    </row>
    <row r="47" spans="2:37" x14ac:dyDescent="0.25">
      <c r="B47" s="22" t="s">
        <v>350</v>
      </c>
      <c r="C47" s="23"/>
      <c r="D47" s="27"/>
      <c r="E47" s="25"/>
      <c r="F47" s="279">
        <v>0.25</v>
      </c>
      <c r="G47" s="5"/>
      <c r="H47" s="24"/>
      <c r="I47" s="93">
        <f>F47*I44</f>
        <v>2642783.3510204079</v>
      </c>
      <c r="J47" s="42"/>
      <c r="K47" s="29"/>
      <c r="L47" s="22"/>
      <c r="T47" s="23"/>
    </row>
    <row r="48" spans="2:37" x14ac:dyDescent="0.25">
      <c r="B48" s="22" t="s">
        <v>351</v>
      </c>
      <c r="C48" s="23"/>
      <c r="D48" s="27"/>
      <c r="E48" s="25"/>
      <c r="F48" s="279">
        <v>0.05</v>
      </c>
      <c r="G48" s="5"/>
      <c r="H48" s="24"/>
      <c r="I48" s="26">
        <f>F48*I47</f>
        <v>132139.16755102039</v>
      </c>
      <c r="J48" s="42"/>
      <c r="K48" s="29"/>
      <c r="L48" s="22"/>
      <c r="T48" s="23"/>
    </row>
    <row r="49" spans="2:20" x14ac:dyDescent="0.25">
      <c r="B49" s="22" t="s">
        <v>91</v>
      </c>
      <c r="C49" s="23"/>
      <c r="D49" s="27"/>
      <c r="E49" s="25"/>
      <c r="F49" s="279">
        <v>0.1</v>
      </c>
      <c r="G49" s="28"/>
      <c r="H49" s="93"/>
      <c r="I49" s="93">
        <f>I44*F49</f>
        <v>1057113.3404081631</v>
      </c>
      <c r="J49" s="42"/>
      <c r="K49" s="29"/>
      <c r="L49" s="22"/>
      <c r="T49" s="23"/>
    </row>
    <row r="50" spans="2:20" x14ac:dyDescent="0.25">
      <c r="B50" s="22"/>
      <c r="C50" s="23"/>
      <c r="D50" s="27"/>
      <c r="E50" s="25"/>
      <c r="F50" s="27"/>
      <c r="G50" s="28"/>
      <c r="H50" s="93"/>
      <c r="I50" s="26"/>
      <c r="J50" s="42"/>
      <c r="K50" s="29"/>
      <c r="L50" s="22"/>
      <c r="T50" s="23"/>
    </row>
    <row r="51" spans="2:20" x14ac:dyDescent="0.25">
      <c r="B51" s="30" t="s">
        <v>92</v>
      </c>
      <c r="C51" s="31"/>
      <c r="D51" s="32"/>
      <c r="E51" s="33"/>
      <c r="F51" s="32"/>
      <c r="G51" s="34"/>
      <c r="H51" s="94"/>
      <c r="I51" s="35">
        <f>SUM(I44:I49)</f>
        <v>14403169.263061222</v>
      </c>
      <c r="J51" s="64"/>
      <c r="K51" s="29"/>
      <c r="L51" s="51"/>
      <c r="M51" s="60"/>
      <c r="N51" s="60"/>
      <c r="O51" s="60"/>
      <c r="P51" s="60"/>
      <c r="Q51" s="60"/>
      <c r="R51" s="60"/>
      <c r="S51" s="60"/>
      <c r="T51" s="52"/>
    </row>
    <row r="52" spans="2:20" x14ac:dyDescent="0.25">
      <c r="B52" s="36"/>
      <c r="C52" s="37"/>
      <c r="D52" s="38"/>
      <c r="E52" s="39"/>
      <c r="F52" s="38"/>
      <c r="G52" s="40"/>
      <c r="H52" s="149"/>
      <c r="I52" s="41"/>
      <c r="J52" s="64"/>
      <c r="K52" s="29"/>
      <c r="L52" s="8"/>
      <c r="M52" s="61"/>
      <c r="N52" s="61"/>
      <c r="O52" s="61"/>
      <c r="P52" s="61"/>
      <c r="Q52" s="61"/>
      <c r="R52" s="61"/>
      <c r="S52" s="61"/>
      <c r="T52" s="9"/>
    </row>
    <row r="53" spans="2:20" ht="15.75" x14ac:dyDescent="0.25">
      <c r="B53" s="139" t="s">
        <v>93</v>
      </c>
      <c r="C53" s="15"/>
      <c r="D53" s="16"/>
      <c r="E53" s="17"/>
      <c r="F53" s="16"/>
      <c r="G53" s="17"/>
      <c r="H53" s="16"/>
      <c r="I53" s="19"/>
      <c r="J53" s="42"/>
      <c r="L53" s="22"/>
      <c r="T53" s="23"/>
    </row>
    <row r="54" spans="2:20" x14ac:dyDescent="0.25">
      <c r="B54" s="147" t="s">
        <v>94</v>
      </c>
      <c r="C54" s="23"/>
      <c r="D54" s="24" t="s">
        <v>95</v>
      </c>
      <c r="E54" s="5" t="s">
        <v>96</v>
      </c>
      <c r="F54" s="24" t="s">
        <v>97</v>
      </c>
      <c r="G54" s="5" t="s">
        <v>98</v>
      </c>
      <c r="H54" s="24"/>
      <c r="I54" s="26" t="s">
        <v>99</v>
      </c>
      <c r="J54" s="42"/>
      <c r="L54" s="22"/>
      <c r="T54" s="23"/>
    </row>
    <row r="55" spans="2:20" x14ac:dyDescent="0.25">
      <c r="B55" s="22"/>
      <c r="C55" s="23" t="s">
        <v>100</v>
      </c>
      <c r="D55" s="278">
        <v>1</v>
      </c>
      <c r="E55" s="290">
        <v>150000</v>
      </c>
      <c r="F55" s="279">
        <v>0</v>
      </c>
      <c r="G55" s="280">
        <v>0.4</v>
      </c>
      <c r="H55" s="43"/>
      <c r="I55" s="26">
        <f>D55*E55*(1+F55)*(1+G55)</f>
        <v>210000</v>
      </c>
      <c r="J55" s="42"/>
      <c r="L55" s="22"/>
      <c r="M55" s="29"/>
      <c r="T55" s="23"/>
    </row>
    <row r="56" spans="2:20" x14ac:dyDescent="0.25">
      <c r="B56" s="22"/>
      <c r="C56" s="23" t="s">
        <v>101</v>
      </c>
      <c r="D56" s="278">
        <v>5</v>
      </c>
      <c r="E56" s="42">
        <f t="shared" ref="E56:E61" si="0">L56*40*52</f>
        <v>69680</v>
      </c>
      <c r="F56" s="279">
        <v>0.15</v>
      </c>
      <c r="G56" s="280">
        <v>0.4</v>
      </c>
      <c r="H56" s="43"/>
      <c r="I56" s="26">
        <f t="shared" ref="I56:I61" si="1">D56*E56*(1+F56)*(1+G56)</f>
        <v>560923.99999999988</v>
      </c>
      <c r="J56" s="42"/>
      <c r="L56" s="291">
        <v>33.5</v>
      </c>
      <c r="M56" s="4" t="s">
        <v>352</v>
      </c>
      <c r="T56" s="23"/>
    </row>
    <row r="57" spans="2:20" x14ac:dyDescent="0.25">
      <c r="B57" s="22"/>
      <c r="C57" s="23" t="s">
        <v>353</v>
      </c>
      <c r="D57" s="278">
        <v>2</v>
      </c>
      <c r="E57" s="42">
        <f t="shared" si="0"/>
        <v>72800</v>
      </c>
      <c r="F57" s="279">
        <v>0.15</v>
      </c>
      <c r="G57" s="280">
        <v>0.4</v>
      </c>
      <c r="H57" s="43"/>
      <c r="I57" s="26">
        <f t="shared" si="1"/>
        <v>234415.99999999997</v>
      </c>
      <c r="J57" s="42"/>
      <c r="L57" s="291">
        <v>35</v>
      </c>
      <c r="M57" s="4" t="s">
        <v>352</v>
      </c>
      <c r="T57" s="23"/>
    </row>
    <row r="58" spans="2:20" x14ac:dyDescent="0.25">
      <c r="B58" s="22"/>
      <c r="C58" s="23" t="s">
        <v>354</v>
      </c>
      <c r="D58" s="278">
        <v>1</v>
      </c>
      <c r="E58" s="42">
        <f t="shared" si="0"/>
        <v>79040</v>
      </c>
      <c r="F58" s="279">
        <v>0.15</v>
      </c>
      <c r="G58" s="280">
        <v>0.4</v>
      </c>
      <c r="H58" s="43"/>
      <c r="I58" s="26">
        <f t="shared" si="1"/>
        <v>127254.39999999999</v>
      </c>
      <c r="J58" s="42"/>
      <c r="L58" s="291">
        <v>38</v>
      </c>
      <c r="M58" s="4" t="s">
        <v>352</v>
      </c>
      <c r="T58" s="23"/>
    </row>
    <row r="59" spans="2:20" x14ac:dyDescent="0.25">
      <c r="B59" s="22"/>
      <c r="C59" s="23" t="s">
        <v>355</v>
      </c>
      <c r="D59" s="289">
        <v>1</v>
      </c>
      <c r="E59" s="42">
        <f t="shared" si="0"/>
        <v>59280</v>
      </c>
      <c r="F59" s="279">
        <v>0.15</v>
      </c>
      <c r="G59" s="280">
        <v>0.4</v>
      </c>
      <c r="H59" s="43"/>
      <c r="I59" s="26">
        <f t="shared" si="1"/>
        <v>95440.799999999988</v>
      </c>
      <c r="J59" s="42"/>
      <c r="L59" s="291">
        <v>28.5</v>
      </c>
      <c r="M59" s="4" t="s">
        <v>352</v>
      </c>
      <c r="O59" s="71">
        <f>D10*3/40/52</f>
        <v>0.7038461538461539</v>
      </c>
      <c r="P59" s="4" t="s">
        <v>356</v>
      </c>
      <c r="T59" s="23"/>
    </row>
    <row r="60" spans="2:20" x14ac:dyDescent="0.25">
      <c r="B60" s="22"/>
      <c r="C60" s="23" t="s">
        <v>357</v>
      </c>
      <c r="D60" s="289">
        <v>1</v>
      </c>
      <c r="E60" s="42">
        <f t="shared" si="0"/>
        <v>62400</v>
      </c>
      <c r="F60" s="279">
        <v>0</v>
      </c>
      <c r="G60" s="280">
        <v>0.4</v>
      </c>
      <c r="H60" s="43"/>
      <c r="I60" s="26">
        <f t="shared" si="1"/>
        <v>87360</v>
      </c>
      <c r="J60" s="42"/>
      <c r="L60" s="291">
        <v>30</v>
      </c>
      <c r="M60" s="4" t="s">
        <v>352</v>
      </c>
      <c r="O60" s="71">
        <v>2</v>
      </c>
      <c r="P60" s="4" t="s">
        <v>356</v>
      </c>
      <c r="T60" s="23"/>
    </row>
    <row r="61" spans="2:20" x14ac:dyDescent="0.25">
      <c r="B61" s="22"/>
      <c r="C61" s="23" t="s">
        <v>105</v>
      </c>
      <c r="D61" s="278">
        <v>1</v>
      </c>
      <c r="E61" s="42">
        <f t="shared" si="0"/>
        <v>49920</v>
      </c>
      <c r="F61" s="279">
        <v>0.15</v>
      </c>
      <c r="G61" s="280">
        <v>0.4</v>
      </c>
      <c r="H61" s="43"/>
      <c r="I61" s="26">
        <f t="shared" si="1"/>
        <v>80371.199999999983</v>
      </c>
      <c r="J61" s="42"/>
      <c r="L61" s="291">
        <v>24</v>
      </c>
      <c r="M61" s="4" t="s">
        <v>352</v>
      </c>
      <c r="T61" s="23"/>
    </row>
    <row r="62" spans="2:20" x14ac:dyDescent="0.25">
      <c r="B62" s="22"/>
      <c r="C62" s="23" t="s">
        <v>106</v>
      </c>
      <c r="D62" s="24">
        <f>SUM(D55:D61)</f>
        <v>12</v>
      </c>
      <c r="E62" s="42">
        <f>(D55*E55+D56*E56+D57*E57+D58*E58+D59*E59+D61*E61)/D62</f>
        <v>69353.333333333328</v>
      </c>
      <c r="F62" s="279">
        <f>(D55*F55+D56*F56+D57*F57+D58*F58+D59*F59+D61*F61)/D62</f>
        <v>0.12499999999999999</v>
      </c>
      <c r="G62" s="280">
        <v>0.4</v>
      </c>
      <c r="H62" s="43"/>
      <c r="I62" s="26">
        <f>SUM(I55:I61)</f>
        <v>1395766.4</v>
      </c>
      <c r="J62" s="42"/>
      <c r="L62" s="22"/>
      <c r="T62" s="23"/>
    </row>
    <row r="63" spans="2:20" x14ac:dyDescent="0.25">
      <c r="B63" s="22"/>
      <c r="C63" s="23"/>
      <c r="D63" s="24"/>
      <c r="E63" s="5"/>
      <c r="F63" s="24"/>
      <c r="G63" s="5"/>
      <c r="H63" s="24"/>
      <c r="I63" s="26"/>
      <c r="J63" s="42"/>
      <c r="L63" s="22"/>
      <c r="T63" s="23"/>
    </row>
    <row r="64" spans="2:20" x14ac:dyDescent="0.25">
      <c r="B64" s="147" t="s">
        <v>107</v>
      </c>
      <c r="C64" s="23"/>
      <c r="D64" s="24"/>
      <c r="E64" s="5"/>
      <c r="F64" s="24" t="s">
        <v>108</v>
      </c>
      <c r="G64" s="5"/>
      <c r="H64" s="24"/>
      <c r="I64" s="26" t="s">
        <v>99</v>
      </c>
      <c r="J64" s="42"/>
      <c r="L64" s="22"/>
      <c r="T64" s="23"/>
    </row>
    <row r="65" spans="2:20" x14ac:dyDescent="0.25">
      <c r="B65" s="22"/>
      <c r="C65" s="23"/>
      <c r="D65" s="24"/>
      <c r="E65" s="5"/>
      <c r="F65" s="279">
        <v>0.4</v>
      </c>
      <c r="G65" s="5"/>
      <c r="H65" s="24"/>
      <c r="I65" s="26">
        <f>I62*F65</f>
        <v>558306.55999999994</v>
      </c>
      <c r="J65" s="42"/>
      <c r="L65" s="22"/>
      <c r="T65" s="23"/>
    </row>
    <row r="66" spans="2:20" x14ac:dyDescent="0.25">
      <c r="B66" s="22"/>
      <c r="C66" s="23"/>
      <c r="D66" s="24"/>
      <c r="E66" s="5"/>
      <c r="F66" s="24"/>
      <c r="G66" s="5"/>
      <c r="H66" s="24"/>
      <c r="I66" s="26"/>
      <c r="J66" s="42"/>
      <c r="L66" s="22"/>
      <c r="T66" s="23"/>
    </row>
    <row r="67" spans="2:20" x14ac:dyDescent="0.25">
      <c r="B67" s="30" t="s">
        <v>109</v>
      </c>
      <c r="C67" s="31"/>
      <c r="D67" s="45"/>
      <c r="E67" s="33"/>
      <c r="F67" s="45"/>
      <c r="G67" s="33"/>
      <c r="H67" s="45"/>
      <c r="I67" s="35">
        <f>I62+I65</f>
        <v>1954072.96</v>
      </c>
      <c r="J67" s="64"/>
      <c r="L67" s="22"/>
      <c r="T67" s="23"/>
    </row>
    <row r="68" spans="2:20" x14ac:dyDescent="0.25">
      <c r="B68" s="14"/>
      <c r="C68" s="15"/>
      <c r="D68" s="16"/>
      <c r="E68" s="17"/>
      <c r="F68" s="16"/>
      <c r="G68" s="17"/>
      <c r="H68" s="16"/>
      <c r="I68" s="19"/>
      <c r="J68" s="42"/>
      <c r="L68" s="14"/>
      <c r="M68" s="69"/>
      <c r="N68" s="69"/>
      <c r="O68" s="69"/>
      <c r="P68" s="69"/>
      <c r="Q68" s="69"/>
      <c r="R68" s="69"/>
      <c r="S68" s="69"/>
      <c r="T68" s="15"/>
    </row>
    <row r="69" spans="2:20" x14ac:dyDescent="0.25">
      <c r="B69" s="46" t="s">
        <v>110</v>
      </c>
      <c r="C69" s="47"/>
      <c r="D69" s="48"/>
      <c r="E69" s="49"/>
      <c r="F69" s="48"/>
      <c r="G69" s="49"/>
      <c r="H69" s="48"/>
      <c r="I69" s="50">
        <f>I51+I67</f>
        <v>16357242.223061223</v>
      </c>
      <c r="J69" s="64"/>
      <c r="L69" s="22"/>
      <c r="T69" s="23"/>
    </row>
    <row r="70" spans="2:20" x14ac:dyDescent="0.25">
      <c r="B70" s="51"/>
      <c r="C70" s="52" t="s">
        <v>111</v>
      </c>
      <c r="D70" s="53"/>
      <c r="E70" s="54"/>
      <c r="F70" s="53"/>
      <c r="G70" s="54"/>
      <c r="H70" s="53"/>
      <c r="I70" s="55">
        <f>I69/D4/1000/365</f>
        <v>0.22407181127481127</v>
      </c>
      <c r="J70" s="28"/>
      <c r="K70" s="4" t="s">
        <v>19</v>
      </c>
      <c r="L70" s="51"/>
      <c r="M70" s="60"/>
      <c r="N70" s="60"/>
      <c r="O70" s="60"/>
      <c r="P70" s="60"/>
      <c r="Q70" s="60"/>
      <c r="R70" s="60"/>
      <c r="S70" s="60"/>
      <c r="T70" s="52"/>
    </row>
    <row r="71" spans="2:20" ht="9.75" customHeight="1" x14ac:dyDescent="0.25">
      <c r="B71" s="22"/>
      <c r="D71" s="95"/>
      <c r="F71" s="95"/>
      <c r="H71" s="95"/>
      <c r="I71" s="153"/>
    </row>
    <row r="72" spans="2:20" x14ac:dyDescent="0.25">
      <c r="B72" s="22" t="s">
        <v>82</v>
      </c>
      <c r="D72" s="91"/>
      <c r="F72" s="91"/>
      <c r="H72" s="91"/>
      <c r="I72" s="154">
        <f>I29+I32</f>
        <v>10147233.6</v>
      </c>
    </row>
    <row r="73" spans="2:20" ht="9" customHeight="1" x14ac:dyDescent="0.25">
      <c r="B73" s="22"/>
      <c r="D73" s="91"/>
      <c r="F73" s="91"/>
      <c r="H73" s="91"/>
      <c r="I73" s="153"/>
    </row>
    <row r="74" spans="2:20" x14ac:dyDescent="0.25">
      <c r="B74" s="46" t="s">
        <v>359</v>
      </c>
      <c r="C74" s="6"/>
      <c r="D74" s="91"/>
      <c r="F74" s="91"/>
      <c r="H74" s="91"/>
      <c r="I74" s="155">
        <f>I69-I72</f>
        <v>6210008.623061223</v>
      </c>
    </row>
    <row r="75" spans="2:20" x14ac:dyDescent="0.25">
      <c r="B75" s="51"/>
      <c r="C75" s="60" t="s">
        <v>111</v>
      </c>
      <c r="D75" s="151"/>
      <c r="E75" s="60"/>
      <c r="F75" s="151"/>
      <c r="G75" s="60"/>
      <c r="H75" s="151"/>
      <c r="I75" s="152">
        <f>I74/D4/365/1000</f>
        <v>8.5068611274811273E-2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54"/>
  <sheetViews>
    <sheetView workbookViewId="0">
      <selection activeCell="K41" sqref="K41"/>
    </sheetView>
  </sheetViews>
  <sheetFormatPr defaultColWidth="9.140625" defaultRowHeight="15" x14ac:dyDescent="0.25"/>
  <cols>
    <col min="1" max="1" width="3.5703125" style="4" customWidth="1"/>
    <col min="2" max="2" width="4.42578125" style="4" customWidth="1"/>
    <col min="3" max="3" width="9.140625" style="4"/>
    <col min="4" max="4" width="12" style="4" customWidth="1"/>
    <col min="5" max="16384" width="9.140625" style="4"/>
  </cols>
  <sheetData>
    <row r="1" spans="3:15" x14ac:dyDescent="0.25">
      <c r="C1" s="284" t="s">
        <v>217</v>
      </c>
    </row>
    <row r="3" spans="3:15" x14ac:dyDescent="0.25">
      <c r="O3" s="4" t="s">
        <v>19</v>
      </c>
    </row>
    <row r="14" spans="3:15" x14ac:dyDescent="0.25">
      <c r="G14" s="4" t="s">
        <v>19</v>
      </c>
      <c r="J14" s="4" t="s">
        <v>291</v>
      </c>
      <c r="O14" s="4" t="s">
        <v>243</v>
      </c>
    </row>
    <row r="15" spans="3:15" x14ac:dyDescent="0.25">
      <c r="M15" s="99"/>
    </row>
    <row r="21" spans="1:10" x14ac:dyDescent="0.25">
      <c r="I21" s="274">
        <v>8</v>
      </c>
      <c r="J21" s="4" t="s">
        <v>292</v>
      </c>
    </row>
    <row r="22" spans="1:10" x14ac:dyDescent="0.25">
      <c r="I22" s="274">
        <v>40</v>
      </c>
      <c r="J22" s="4" t="s">
        <v>390</v>
      </c>
    </row>
    <row r="23" spans="1:10" x14ac:dyDescent="0.25">
      <c r="I23" s="274">
        <v>50</v>
      </c>
      <c r="J23" s="4" t="s">
        <v>624</v>
      </c>
    </row>
    <row r="24" spans="1:10" x14ac:dyDescent="0.25">
      <c r="I24" s="99">
        <f>I23/I21</f>
        <v>6.25</v>
      </c>
      <c r="J24" s="4" t="s">
        <v>502</v>
      </c>
    </row>
    <row r="25" spans="1:10" x14ac:dyDescent="0.25">
      <c r="I25" s="105">
        <f>'Design Basis'!B36</f>
        <v>5.0000000000000001E-3</v>
      </c>
      <c r="J25" s="4" t="s">
        <v>297</v>
      </c>
    </row>
    <row r="26" spans="1:10" x14ac:dyDescent="0.25">
      <c r="I26" s="105">
        <f>'Design Basis'!B34</f>
        <v>3.1427796045066313E-2</v>
      </c>
      <c r="J26" s="4" t="s">
        <v>298</v>
      </c>
    </row>
    <row r="29" spans="1:10" x14ac:dyDescent="0.25">
      <c r="A29" s="104"/>
      <c r="B29" s="6"/>
      <c r="C29" s="108" t="s">
        <v>278</v>
      </c>
      <c r="D29" s="109"/>
      <c r="E29" s="115">
        <v>1</v>
      </c>
      <c r="F29" s="115">
        <v>2</v>
      </c>
      <c r="G29" s="115">
        <v>9</v>
      </c>
    </row>
    <row r="30" spans="1:10" x14ac:dyDescent="0.25">
      <c r="A30" s="104"/>
      <c r="B30" s="6"/>
      <c r="C30" s="120" t="s">
        <v>384</v>
      </c>
      <c r="D30" s="109"/>
      <c r="E30" s="244">
        <v>60</v>
      </c>
      <c r="F30" s="174"/>
      <c r="G30" s="174"/>
    </row>
    <row r="31" spans="1:10" x14ac:dyDescent="0.25">
      <c r="A31" s="104"/>
      <c r="B31" s="6"/>
      <c r="C31" s="120" t="s">
        <v>383</v>
      </c>
      <c r="D31" s="121"/>
      <c r="E31" s="75">
        <f>E32/E30/I21</f>
        <v>0.41666666666666669</v>
      </c>
      <c r="F31" s="174"/>
      <c r="G31" s="174"/>
    </row>
    <row r="32" spans="1:10" x14ac:dyDescent="0.25">
      <c r="C32" s="113" t="s">
        <v>17</v>
      </c>
      <c r="D32" s="114"/>
      <c r="E32" s="208">
        <f>'Design Basis'!B33</f>
        <v>200</v>
      </c>
      <c r="F32" s="208">
        <f>E32*(1-I25)</f>
        <v>199</v>
      </c>
      <c r="G32" s="208">
        <f>F32*(1-I26)</f>
        <v>192.74586858703182</v>
      </c>
    </row>
    <row r="33" spans="3:23" x14ac:dyDescent="0.25">
      <c r="C33" s="113" t="s">
        <v>385</v>
      </c>
      <c r="D33" s="114"/>
      <c r="E33" s="244">
        <v>0.1</v>
      </c>
      <c r="F33" s="10">
        <f>E33*E30</f>
        <v>6</v>
      </c>
      <c r="G33" s="10">
        <v>0</v>
      </c>
    </row>
    <row r="34" spans="3:23" x14ac:dyDescent="0.25">
      <c r="C34" s="110" t="s">
        <v>280</v>
      </c>
      <c r="D34" s="111"/>
      <c r="E34" s="244">
        <v>80</v>
      </c>
      <c r="F34" s="244">
        <v>25</v>
      </c>
      <c r="G34" s="244">
        <v>500</v>
      </c>
    </row>
    <row r="35" spans="3:23" x14ac:dyDescent="0.25">
      <c r="C35" s="113" t="s">
        <v>279</v>
      </c>
      <c r="D35" s="114"/>
      <c r="E35" s="244">
        <v>100</v>
      </c>
      <c r="F35" s="244">
        <v>70</v>
      </c>
      <c r="G35" s="244">
        <v>120</v>
      </c>
    </row>
    <row r="36" spans="3:23" x14ac:dyDescent="0.25">
      <c r="C36" s="8" t="s">
        <v>488</v>
      </c>
      <c r="D36" s="9"/>
      <c r="E36" s="209">
        <f>'Water Content'!B49</f>
        <v>464.31408696374763</v>
      </c>
      <c r="F36" s="209">
        <f>'Water Content'!H49</f>
        <v>417.27470115675453</v>
      </c>
      <c r="G36" s="209">
        <f>'Water Content'!N49</f>
        <v>306.40347779769968</v>
      </c>
      <c r="W36" s="4">
        <f>G36/E36</f>
        <v>0.6599056250938663</v>
      </c>
    </row>
    <row r="37" spans="3:23" x14ac:dyDescent="0.25">
      <c r="C37" s="8" t="s">
        <v>603</v>
      </c>
      <c r="D37" s="9"/>
      <c r="E37" s="209">
        <v>0</v>
      </c>
      <c r="F37" s="209">
        <f>(E36-F36)*F32/8.337/42</f>
        <v>26.733488052661475</v>
      </c>
      <c r="G37" s="209"/>
    </row>
    <row r="38" spans="3:23" x14ac:dyDescent="0.25">
      <c r="C38" s="22" t="s">
        <v>602</v>
      </c>
      <c r="D38" s="23"/>
      <c r="E38" s="209"/>
      <c r="F38" s="209"/>
      <c r="G38" s="209"/>
    </row>
    <row r="39" spans="3:23" x14ac:dyDescent="0.25">
      <c r="C39" s="8" t="s">
        <v>281</v>
      </c>
      <c r="D39" s="114"/>
      <c r="E39" s="98">
        <f>'Design Basis'!B6</f>
        <v>5.1700000000000001E-3</v>
      </c>
      <c r="F39" s="98">
        <f t="shared" ref="F39:F50" si="0">E39*(1+($E$51-$F$51))</f>
        <v>5.1700000000000001E-3</v>
      </c>
      <c r="G39" s="98">
        <f>E39*(1+($E$51-$G$51))</f>
        <v>5.1700000000000001E-3</v>
      </c>
    </row>
    <row r="40" spans="3:23" x14ac:dyDescent="0.25">
      <c r="C40" s="8" t="s">
        <v>4</v>
      </c>
      <c r="D40" s="114"/>
      <c r="E40" s="98">
        <f>'Design Basis'!B7</f>
        <v>1.6199999999999999E-2</v>
      </c>
      <c r="F40" s="98">
        <f t="shared" si="0"/>
        <v>1.6199999999999999E-2</v>
      </c>
      <c r="G40" s="98">
        <f>E40*(1+($E$51-$G$51))</f>
        <v>1.6199999999999999E-2</v>
      </c>
    </row>
    <row r="41" spans="3:23" x14ac:dyDescent="0.25">
      <c r="C41" s="22" t="s">
        <v>3</v>
      </c>
      <c r="D41" s="111"/>
      <c r="E41" s="98">
        <f>'Design Basis'!B8</f>
        <v>2.0000000000000002E-5</v>
      </c>
      <c r="F41" s="98">
        <f t="shared" si="0"/>
        <v>2.0000000000000002E-5</v>
      </c>
      <c r="G41" s="98">
        <f t="shared" ref="G41:G50" si="1">E41*(1+($E$51-$G$51))</f>
        <v>2.0000000000000002E-5</v>
      </c>
    </row>
    <row r="42" spans="3:23" x14ac:dyDescent="0.25">
      <c r="C42" s="8" t="s">
        <v>6</v>
      </c>
      <c r="D42" s="114"/>
      <c r="E42" s="98">
        <f>'Design Basis'!B9</f>
        <v>0.78068060303845899</v>
      </c>
      <c r="F42" s="98">
        <f t="shared" si="0"/>
        <v>0.78068060303845899</v>
      </c>
      <c r="G42" s="98">
        <f t="shared" si="1"/>
        <v>0.78068060303845899</v>
      </c>
    </row>
    <row r="43" spans="3:23" x14ac:dyDescent="0.25">
      <c r="C43" s="22" t="s">
        <v>7</v>
      </c>
      <c r="D43" s="111"/>
      <c r="E43" s="98">
        <f>'Design Basis'!B10</f>
        <v>9.8900000000000002E-2</v>
      </c>
      <c r="F43" s="98">
        <f t="shared" si="0"/>
        <v>9.8900000000000002E-2</v>
      </c>
      <c r="G43" s="98">
        <f t="shared" si="1"/>
        <v>9.8900000000000002E-2</v>
      </c>
    </row>
    <row r="44" spans="3:23" x14ac:dyDescent="0.25">
      <c r="C44" s="8" t="s">
        <v>8</v>
      </c>
      <c r="D44" s="114"/>
      <c r="E44" s="98">
        <f>'Design Basis'!B11</f>
        <v>5.6728247513815354E-2</v>
      </c>
      <c r="F44" s="98">
        <f t="shared" si="0"/>
        <v>5.6728247513815354E-2</v>
      </c>
      <c r="G44" s="98">
        <f t="shared" si="1"/>
        <v>5.6728247513815354E-2</v>
      </c>
    </row>
    <row r="45" spans="3:23" x14ac:dyDescent="0.25">
      <c r="C45" s="22" t="s">
        <v>9</v>
      </c>
      <c r="D45" s="111"/>
      <c r="E45" s="98">
        <f>'Design Basis'!B12</f>
        <v>9.8111258104631154E-3</v>
      </c>
      <c r="F45" s="98">
        <f t="shared" si="0"/>
        <v>9.8111258104631154E-3</v>
      </c>
      <c r="G45" s="98">
        <f t="shared" si="1"/>
        <v>9.8111258104631154E-3</v>
      </c>
    </row>
    <row r="46" spans="3:23" x14ac:dyDescent="0.25">
      <c r="C46" s="8" t="s">
        <v>10</v>
      </c>
      <c r="D46" s="114"/>
      <c r="E46" s="98">
        <f>'Design Basis'!B13</f>
        <v>1.4188959438735479E-2</v>
      </c>
      <c r="F46" s="98">
        <f t="shared" si="0"/>
        <v>1.4188959438735479E-2</v>
      </c>
      <c r="G46" s="98">
        <f t="shared" si="1"/>
        <v>1.4188959438735479E-2</v>
      </c>
    </row>
    <row r="47" spans="3:23" x14ac:dyDescent="0.25">
      <c r="C47" s="22" t="s">
        <v>237</v>
      </c>
      <c r="D47" s="111"/>
      <c r="E47" s="98">
        <f>'Design Basis'!B14</f>
        <v>6.1652503186639647E-3</v>
      </c>
      <c r="F47" s="98">
        <f t="shared" si="0"/>
        <v>6.1652503186639647E-3</v>
      </c>
      <c r="G47" s="98">
        <f t="shared" si="1"/>
        <v>6.1652503186639647E-3</v>
      </c>
    </row>
    <row r="48" spans="3:23" x14ac:dyDescent="0.25">
      <c r="C48" s="8" t="s">
        <v>238</v>
      </c>
      <c r="D48" s="114"/>
      <c r="E48" s="98">
        <f>'Design Basis'!B15</f>
        <v>8.6467266405882773E-3</v>
      </c>
      <c r="F48" s="98">
        <f t="shared" si="0"/>
        <v>8.6467266405882773E-3</v>
      </c>
      <c r="G48" s="98">
        <f t="shared" si="1"/>
        <v>8.6467266405882773E-3</v>
      </c>
    </row>
    <row r="49" spans="3:7" x14ac:dyDescent="0.25">
      <c r="C49" s="22" t="s">
        <v>194</v>
      </c>
      <c r="D49" s="111"/>
      <c r="E49" s="98">
        <f>'Design Basis'!B16</f>
        <v>2.3178288985366783E-3</v>
      </c>
      <c r="F49" s="98">
        <f t="shared" si="0"/>
        <v>2.3178288985366783E-3</v>
      </c>
      <c r="G49" s="98">
        <f t="shared" si="1"/>
        <v>2.3178288985366783E-3</v>
      </c>
    </row>
    <row r="50" spans="3:7" x14ac:dyDescent="0.25">
      <c r="C50" s="8" t="s">
        <v>11</v>
      </c>
      <c r="D50" s="114"/>
      <c r="E50" s="98">
        <f>'Design Basis'!B17</f>
        <v>1.1999999999999999E-3</v>
      </c>
      <c r="F50" s="98">
        <f t="shared" si="0"/>
        <v>1.1999999999999999E-3</v>
      </c>
      <c r="G50" s="98">
        <f t="shared" si="1"/>
        <v>1.1999999999999999E-3</v>
      </c>
    </row>
    <row r="51" spans="3:7" hidden="1" x14ac:dyDescent="0.25">
      <c r="C51" s="51" t="s">
        <v>2</v>
      </c>
      <c r="D51" s="112"/>
      <c r="E51" s="98">
        <f>'Design Basis'!B18</f>
        <v>0</v>
      </c>
      <c r="F51" s="98">
        <f>E51*F36/E36</f>
        <v>0</v>
      </c>
      <c r="G51" s="98">
        <f>E51*G36/E36</f>
        <v>0</v>
      </c>
    </row>
    <row r="52" spans="3:7" hidden="1" x14ac:dyDescent="0.25">
      <c r="C52" s="51" t="s">
        <v>266</v>
      </c>
      <c r="D52" s="112"/>
      <c r="E52" s="126"/>
      <c r="F52" s="126"/>
      <c r="G52" s="126"/>
    </row>
    <row r="53" spans="3:7" hidden="1" x14ac:dyDescent="0.25">
      <c r="C53" s="51" t="s">
        <v>293</v>
      </c>
      <c r="D53" s="112"/>
      <c r="E53" s="126"/>
      <c r="F53" s="126"/>
      <c r="G53" s="126"/>
    </row>
    <row r="54" spans="3:7" x14ac:dyDescent="0.25">
      <c r="C54" s="51" t="s">
        <v>294</v>
      </c>
      <c r="D54" s="112"/>
      <c r="E54" s="117">
        <f>SUM(E39:E53)</f>
        <v>1.0000287416592619</v>
      </c>
      <c r="F54" s="117">
        <f>SUM(F39:F53)</f>
        <v>1.0000287416592619</v>
      </c>
      <c r="G54" s="117">
        <f>SUM(G39:G53)</f>
        <v>1.0000287416592619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T53"/>
  <sheetViews>
    <sheetView workbookViewId="0">
      <selection activeCell="M35" sqref="M35"/>
    </sheetView>
  </sheetViews>
  <sheetFormatPr defaultColWidth="9.140625" defaultRowHeight="15" x14ac:dyDescent="0.25"/>
  <cols>
    <col min="1" max="1" width="5.5703125" style="4" customWidth="1"/>
    <col min="2" max="2" width="5.85546875" style="4" customWidth="1"/>
    <col min="3" max="16384" width="9.140625" style="4"/>
  </cols>
  <sheetData>
    <row r="1" spans="2:20" x14ac:dyDescent="0.25">
      <c r="C1" s="284" t="s">
        <v>217</v>
      </c>
    </row>
    <row r="3" spans="2:20" x14ac:dyDescent="0.25">
      <c r="C3" s="5" t="s">
        <v>276</v>
      </c>
    </row>
    <row r="4" spans="2:20" x14ac:dyDescent="0.25">
      <c r="C4" s="5" t="s">
        <v>277</v>
      </c>
      <c r="J4" s="4" t="s">
        <v>270</v>
      </c>
    </row>
    <row r="6" spans="2:20" x14ac:dyDescent="0.25">
      <c r="T6" s="4" t="s">
        <v>243</v>
      </c>
    </row>
    <row r="7" spans="2:20" x14ac:dyDescent="0.25">
      <c r="R7" s="99">
        <f>'Gathering Drwg'!I24</f>
        <v>6.25</v>
      </c>
      <c r="S7" s="4" t="s">
        <v>503</v>
      </c>
    </row>
    <row r="9" spans="2:20" x14ac:dyDescent="0.25">
      <c r="B9" s="4" t="s">
        <v>19</v>
      </c>
    </row>
    <row r="10" spans="2:20" x14ac:dyDescent="0.25">
      <c r="C10" s="4" t="s">
        <v>272</v>
      </c>
    </row>
    <row r="11" spans="2:20" x14ac:dyDescent="0.25">
      <c r="B11" s="4" t="s">
        <v>19</v>
      </c>
    </row>
    <row r="16" spans="2:20" x14ac:dyDescent="0.25">
      <c r="N16" s="127" t="s">
        <v>41</v>
      </c>
      <c r="O16" s="128">
        <f>'Hp Est Tool'!Q10</f>
        <v>33000</v>
      </c>
      <c r="P16" s="129"/>
    </row>
    <row r="17" spans="3:20" x14ac:dyDescent="0.25">
      <c r="N17" s="130" t="s">
        <v>296</v>
      </c>
      <c r="O17" s="131">
        <f>'Hp Est Tool'!Q16</f>
        <v>6.2855592090132628</v>
      </c>
      <c r="P17" s="132" t="s">
        <v>17</v>
      </c>
    </row>
    <row r="18" spans="3:20" x14ac:dyDescent="0.25">
      <c r="K18" s="7" t="s">
        <v>495</v>
      </c>
      <c r="N18" s="130" t="s">
        <v>313</v>
      </c>
      <c r="O18" s="131">
        <f>E30*('Prop Est'!G33-'Prop Est'!N24)</f>
        <v>3.4631276852365889E-2</v>
      </c>
      <c r="P18" s="132" t="s">
        <v>17</v>
      </c>
    </row>
    <row r="19" spans="3:20" x14ac:dyDescent="0.25">
      <c r="E19" s="5" t="s">
        <v>494</v>
      </c>
      <c r="I19" s="5" t="s">
        <v>275</v>
      </c>
      <c r="N19" s="130" t="s">
        <v>313</v>
      </c>
      <c r="O19" s="131">
        <f>('Prop Est'!U20-'Prop Est'!U63)*E30*1000/42</f>
        <v>20.214975159588324</v>
      </c>
      <c r="P19" s="132" t="s">
        <v>314</v>
      </c>
    </row>
    <row r="20" spans="3:20" x14ac:dyDescent="0.25">
      <c r="N20" s="133" t="s">
        <v>240</v>
      </c>
      <c r="O20" s="134">
        <f>'Hp Est Tool'!Q15/'Hp Est Tool'!Q16</f>
        <v>1260.0310865965607</v>
      </c>
      <c r="P20" s="135"/>
    </row>
    <row r="23" spans="3:20" x14ac:dyDescent="0.25">
      <c r="N23" s="210" t="s">
        <v>491</v>
      </c>
      <c r="O23" s="128"/>
      <c r="P23" s="128"/>
      <c r="Q23" s="128"/>
      <c r="R23" s="128"/>
      <c r="S23" s="128"/>
      <c r="T23" s="129"/>
    </row>
    <row r="24" spans="3:20" x14ac:dyDescent="0.25">
      <c r="N24" s="211" t="s">
        <v>492</v>
      </c>
      <c r="O24" s="212"/>
      <c r="P24" s="212"/>
      <c r="Q24" s="212"/>
      <c r="R24" s="212"/>
      <c r="S24" s="212"/>
      <c r="T24" s="132"/>
    </row>
    <row r="25" spans="3:20" x14ac:dyDescent="0.25">
      <c r="N25" s="213" t="s">
        <v>493</v>
      </c>
      <c r="O25" s="214"/>
      <c r="P25" s="214"/>
      <c r="Q25" s="214"/>
      <c r="R25" s="214"/>
      <c r="S25" s="214"/>
      <c r="T25" s="135"/>
    </row>
    <row r="26" spans="3:20" x14ac:dyDescent="0.25">
      <c r="I26" s="4" t="s">
        <v>19</v>
      </c>
    </row>
    <row r="27" spans="3:20" x14ac:dyDescent="0.25">
      <c r="G27" s="4" t="s">
        <v>496</v>
      </c>
    </row>
    <row r="29" spans="3:20" x14ac:dyDescent="0.25">
      <c r="C29" s="205" t="s">
        <v>278</v>
      </c>
      <c r="D29" s="206"/>
      <c r="E29" s="207">
        <v>2</v>
      </c>
      <c r="F29" s="207">
        <v>3</v>
      </c>
      <c r="G29" s="207">
        <v>4</v>
      </c>
      <c r="H29" s="207" t="s">
        <v>499</v>
      </c>
      <c r="I29" s="207">
        <v>6</v>
      </c>
      <c r="J29" s="207">
        <v>7</v>
      </c>
      <c r="K29" s="207">
        <v>8</v>
      </c>
      <c r="L29" s="207">
        <v>9</v>
      </c>
      <c r="M29" s="207">
        <v>10</v>
      </c>
    </row>
    <row r="30" spans="3:20" x14ac:dyDescent="0.25">
      <c r="C30" s="8" t="s">
        <v>17</v>
      </c>
      <c r="D30" s="9"/>
      <c r="E30" s="208">
        <f>'Gathering Drwg'!F32</f>
        <v>199</v>
      </c>
      <c r="F30" s="216">
        <f>E30</f>
        <v>199</v>
      </c>
      <c r="G30" s="10"/>
      <c r="H30" s="10"/>
      <c r="I30" s="215"/>
      <c r="J30" s="10"/>
      <c r="K30" s="10"/>
      <c r="L30" s="208">
        <f>E30-O17-O18</f>
        <v>192.67980951413438</v>
      </c>
      <c r="M30" s="208">
        <f>L30</f>
        <v>192.67980951413438</v>
      </c>
    </row>
    <row r="31" spans="3:20" x14ac:dyDescent="0.25">
      <c r="C31" s="8" t="s">
        <v>497</v>
      </c>
      <c r="D31" s="9"/>
      <c r="E31" s="10">
        <f>'Gathering Drwg'!F33</f>
        <v>6</v>
      </c>
      <c r="F31" s="10">
        <v>0</v>
      </c>
      <c r="G31" s="208">
        <f>E31</f>
        <v>6</v>
      </c>
      <c r="H31" s="208">
        <f>K31</f>
        <v>1.8857142857142855</v>
      </c>
      <c r="I31" s="10"/>
      <c r="J31" s="208">
        <f>G31+H31</f>
        <v>7.8857142857142852</v>
      </c>
      <c r="K31" s="208">
        <f>6/42*O16/2500</f>
        <v>1.8857142857142855</v>
      </c>
      <c r="L31" s="10">
        <v>0</v>
      </c>
      <c r="M31" s="10">
        <v>0</v>
      </c>
    </row>
    <row r="32" spans="3:20" x14ac:dyDescent="0.25">
      <c r="C32" s="8" t="s">
        <v>490</v>
      </c>
      <c r="D32" s="9"/>
      <c r="E32" s="209">
        <f>'Gathering Drwg'!F37</f>
        <v>26.733488052661475</v>
      </c>
      <c r="F32" s="10">
        <v>0</v>
      </c>
      <c r="G32" s="208">
        <f>E32</f>
        <v>26.733488052661475</v>
      </c>
      <c r="H32" s="208">
        <f>('Gathering Drwg'!F36-'Gathering Drwg'!G36)*'Gathering Drwg'!E32/'Prop Est'!M19/42</f>
        <v>63.327120843431672</v>
      </c>
      <c r="I32" s="208">
        <f>G32+H32</f>
        <v>90.060608896093143</v>
      </c>
      <c r="J32" s="208"/>
      <c r="K32" s="208"/>
      <c r="L32" s="10">
        <v>0</v>
      </c>
      <c r="M32" s="208">
        <f>(L36-M36)*L30/'Prop Est'!M19/42</f>
        <v>151.13794991819617</v>
      </c>
    </row>
    <row r="33" spans="3:14" x14ac:dyDescent="0.25">
      <c r="C33" s="215" t="s">
        <v>498</v>
      </c>
      <c r="D33" s="215"/>
      <c r="E33" s="209">
        <f>E31+E32</f>
        <v>32.733488052661471</v>
      </c>
      <c r="F33" s="209">
        <f t="shared" ref="F33:M33" si="0">F31+F32</f>
        <v>0</v>
      </c>
      <c r="G33" s="209">
        <f t="shared" si="0"/>
        <v>32.733488052661471</v>
      </c>
      <c r="H33" s="209">
        <f t="shared" si="0"/>
        <v>65.212835129145958</v>
      </c>
      <c r="I33" s="209">
        <f t="shared" si="0"/>
        <v>90.060608896093143</v>
      </c>
      <c r="J33" s="209">
        <f t="shared" si="0"/>
        <v>7.8857142857142852</v>
      </c>
      <c r="K33" s="209">
        <f t="shared" si="0"/>
        <v>1.8857142857142855</v>
      </c>
      <c r="L33" s="209">
        <f t="shared" si="0"/>
        <v>0</v>
      </c>
      <c r="M33" s="209">
        <f t="shared" si="0"/>
        <v>151.13794991819617</v>
      </c>
    </row>
    <row r="34" spans="3:14" x14ac:dyDescent="0.25">
      <c r="C34" s="22" t="s">
        <v>280</v>
      </c>
      <c r="D34" s="23"/>
      <c r="E34" s="53">
        <f>'Gathering Drwg'!F34</f>
        <v>25</v>
      </c>
      <c r="F34" s="53">
        <f>E34</f>
        <v>25</v>
      </c>
      <c r="G34" s="53"/>
      <c r="H34" s="53"/>
      <c r="I34" s="151"/>
      <c r="J34" s="53"/>
      <c r="K34" s="53"/>
      <c r="L34" s="53">
        <f>'Gathering Drwg'!G34</f>
        <v>500</v>
      </c>
      <c r="M34" s="292">
        <f>L34-R7*10</f>
        <v>437.5</v>
      </c>
      <c r="N34" s="228" t="s">
        <v>504</v>
      </c>
    </row>
    <row r="35" spans="3:14" x14ac:dyDescent="0.25">
      <c r="C35" s="8" t="s">
        <v>279</v>
      </c>
      <c r="D35" s="9"/>
      <c r="E35" s="10">
        <f>'Gathering Drwg'!F35</f>
        <v>70</v>
      </c>
      <c r="F35" s="10">
        <f>E35</f>
        <v>70</v>
      </c>
      <c r="G35" s="10"/>
      <c r="H35" s="10"/>
      <c r="I35" s="215"/>
      <c r="J35" s="10"/>
      <c r="K35" s="10"/>
      <c r="L35" s="10">
        <f>'Gathering Drwg'!G35</f>
        <v>120</v>
      </c>
      <c r="M35" s="244">
        <v>80</v>
      </c>
    </row>
    <row r="36" spans="3:14" x14ac:dyDescent="0.25">
      <c r="C36" s="8" t="s">
        <v>484</v>
      </c>
      <c r="D36" s="9"/>
      <c r="E36" s="209">
        <f>'Gathering Drwg'!F36</f>
        <v>417.27470115675453</v>
      </c>
      <c r="F36" s="209">
        <f>E36</f>
        <v>417.27470115675453</v>
      </c>
      <c r="G36" s="10"/>
      <c r="H36" s="10"/>
      <c r="I36" s="215"/>
      <c r="J36" s="10"/>
      <c r="K36" s="10"/>
      <c r="L36" s="208">
        <f>'Gathering Drwg'!G36</f>
        <v>306.40347779769968</v>
      </c>
      <c r="M36" s="208">
        <f>'Water Content'!T49</f>
        <v>31.742848595790953</v>
      </c>
    </row>
    <row r="37" spans="3:14" x14ac:dyDescent="0.25">
      <c r="C37" s="22" t="s">
        <v>281</v>
      </c>
      <c r="D37" s="23"/>
      <c r="E37" s="98">
        <f>'Gathering Drwg'!F39</f>
        <v>5.1700000000000001E-3</v>
      </c>
      <c r="F37" s="98">
        <f t="shared" ref="F37:F51" si="1">E37</f>
        <v>5.1700000000000001E-3</v>
      </c>
      <c r="G37" s="98"/>
      <c r="H37" s="98"/>
      <c r="I37" s="215"/>
      <c r="J37" s="98"/>
      <c r="K37" s="98"/>
      <c r="L37" s="98">
        <f>'Gathering Drwg'!G39</f>
        <v>5.1700000000000001E-3</v>
      </c>
      <c r="M37" s="98">
        <f t="shared" ref="M37:M47" si="2">L37*(1+($L$49-$M$49))</f>
        <v>5.1700000000000001E-3</v>
      </c>
    </row>
    <row r="38" spans="3:14" x14ac:dyDescent="0.25">
      <c r="C38" s="8" t="s">
        <v>4</v>
      </c>
      <c r="D38" s="9"/>
      <c r="E38" s="98">
        <f>'Gathering Drwg'!F40</f>
        <v>1.6199999999999999E-2</v>
      </c>
      <c r="F38" s="98">
        <f t="shared" si="1"/>
        <v>1.6199999999999999E-2</v>
      </c>
      <c r="G38" s="98"/>
      <c r="H38" s="98"/>
      <c r="I38" s="215"/>
      <c r="J38" s="98"/>
      <c r="K38" s="98"/>
      <c r="L38" s="98">
        <f>'Gathering Drwg'!G40</f>
        <v>1.6199999999999999E-2</v>
      </c>
      <c r="M38" s="98">
        <f t="shared" si="2"/>
        <v>1.6199999999999999E-2</v>
      </c>
    </row>
    <row r="39" spans="3:14" x14ac:dyDescent="0.25">
      <c r="C39" s="22" t="s">
        <v>3</v>
      </c>
      <c r="D39" s="23"/>
      <c r="E39" s="98">
        <f>'Gathering Drwg'!F41</f>
        <v>2.0000000000000002E-5</v>
      </c>
      <c r="F39" s="98">
        <f t="shared" si="1"/>
        <v>2.0000000000000002E-5</v>
      </c>
      <c r="G39" s="98"/>
      <c r="H39" s="98"/>
      <c r="I39" s="215"/>
      <c r="J39" s="98"/>
      <c r="K39" s="98"/>
      <c r="L39" s="98">
        <f>'Gathering Drwg'!G41</f>
        <v>2.0000000000000002E-5</v>
      </c>
      <c r="M39" s="98">
        <f t="shared" si="2"/>
        <v>2.0000000000000002E-5</v>
      </c>
    </row>
    <row r="40" spans="3:14" x14ac:dyDescent="0.25">
      <c r="C40" s="8" t="s">
        <v>6</v>
      </c>
      <c r="D40" s="9"/>
      <c r="E40" s="98">
        <f>'Gathering Drwg'!F42</f>
        <v>0.78068060303845899</v>
      </c>
      <c r="F40" s="98">
        <f t="shared" si="1"/>
        <v>0.78068060303845899</v>
      </c>
      <c r="G40" s="98"/>
      <c r="H40" s="98"/>
      <c r="I40" s="215"/>
      <c r="J40" s="98"/>
      <c r="K40" s="98"/>
      <c r="L40" s="98">
        <f>'Gathering Drwg'!G42</f>
        <v>0.78068060303845899</v>
      </c>
      <c r="M40" s="98">
        <f t="shared" si="2"/>
        <v>0.78068060303845899</v>
      </c>
    </row>
    <row r="41" spans="3:14" x14ac:dyDescent="0.25">
      <c r="C41" s="22" t="s">
        <v>7</v>
      </c>
      <c r="D41" s="23"/>
      <c r="E41" s="98">
        <f>'Gathering Drwg'!F43</f>
        <v>9.8900000000000002E-2</v>
      </c>
      <c r="F41" s="98">
        <f t="shared" si="1"/>
        <v>9.8900000000000002E-2</v>
      </c>
      <c r="G41" s="98"/>
      <c r="H41" s="98"/>
      <c r="I41" s="215"/>
      <c r="J41" s="98"/>
      <c r="K41" s="98"/>
      <c r="L41" s="98">
        <f>'Gathering Drwg'!G43</f>
        <v>9.8900000000000002E-2</v>
      </c>
      <c r="M41" s="98">
        <f t="shared" si="2"/>
        <v>9.8900000000000002E-2</v>
      </c>
    </row>
    <row r="42" spans="3:14" x14ac:dyDescent="0.25">
      <c r="C42" s="8" t="s">
        <v>8</v>
      </c>
      <c r="D42" s="9"/>
      <c r="E42" s="98">
        <f>'Gathering Drwg'!F44</f>
        <v>5.6728247513815354E-2</v>
      </c>
      <c r="F42" s="98">
        <f t="shared" si="1"/>
        <v>5.6728247513815354E-2</v>
      </c>
      <c r="G42" s="98"/>
      <c r="H42" s="98"/>
      <c r="I42" s="215"/>
      <c r="J42" s="98"/>
      <c r="K42" s="98"/>
      <c r="L42" s="98">
        <f>'Gathering Drwg'!G44</f>
        <v>5.6728247513815354E-2</v>
      </c>
      <c r="M42" s="98">
        <f t="shared" si="2"/>
        <v>5.6728247513815354E-2</v>
      </c>
    </row>
    <row r="43" spans="3:14" x14ac:dyDescent="0.25">
      <c r="C43" s="22" t="s">
        <v>9</v>
      </c>
      <c r="D43" s="23"/>
      <c r="E43" s="98">
        <f>'Gathering Drwg'!F45</f>
        <v>9.8111258104631154E-3</v>
      </c>
      <c r="F43" s="98">
        <f t="shared" si="1"/>
        <v>9.8111258104631154E-3</v>
      </c>
      <c r="G43" s="98"/>
      <c r="H43" s="98"/>
      <c r="I43" s="215"/>
      <c r="J43" s="98"/>
      <c r="K43" s="98"/>
      <c r="L43" s="98">
        <f>'Gathering Drwg'!G45</f>
        <v>9.8111258104631154E-3</v>
      </c>
      <c r="M43" s="98">
        <f t="shared" si="2"/>
        <v>9.8111258104631154E-3</v>
      </c>
    </row>
    <row r="44" spans="3:14" x14ac:dyDescent="0.25">
      <c r="C44" s="8" t="s">
        <v>10</v>
      </c>
      <c r="D44" s="9"/>
      <c r="E44" s="98">
        <f>'Gathering Drwg'!F46</f>
        <v>1.4188959438735479E-2</v>
      </c>
      <c r="F44" s="98">
        <f t="shared" si="1"/>
        <v>1.4188959438735479E-2</v>
      </c>
      <c r="G44" s="98"/>
      <c r="H44" s="98"/>
      <c r="I44" s="215"/>
      <c r="J44" s="98"/>
      <c r="K44" s="98"/>
      <c r="L44" s="98">
        <f>'Gathering Drwg'!G46</f>
        <v>1.4188959438735479E-2</v>
      </c>
      <c r="M44" s="98">
        <f t="shared" si="2"/>
        <v>1.4188959438735479E-2</v>
      </c>
    </row>
    <row r="45" spans="3:14" x14ac:dyDescent="0.25">
      <c r="C45" s="22" t="s">
        <v>237</v>
      </c>
      <c r="D45" s="23"/>
      <c r="E45" s="98">
        <f>'Gathering Drwg'!F47</f>
        <v>6.1652503186639647E-3</v>
      </c>
      <c r="F45" s="98">
        <f t="shared" si="1"/>
        <v>6.1652503186639647E-3</v>
      </c>
      <c r="G45" s="98"/>
      <c r="H45" s="98"/>
      <c r="I45" s="215"/>
      <c r="J45" s="98"/>
      <c r="K45" s="98"/>
      <c r="L45" s="98">
        <f>'Gathering Drwg'!G47</f>
        <v>6.1652503186639647E-3</v>
      </c>
      <c r="M45" s="98">
        <f t="shared" si="2"/>
        <v>6.1652503186639647E-3</v>
      </c>
    </row>
    <row r="46" spans="3:14" x14ac:dyDescent="0.25">
      <c r="C46" s="8" t="s">
        <v>238</v>
      </c>
      <c r="D46" s="9"/>
      <c r="E46" s="98">
        <f>'Gathering Drwg'!F48</f>
        <v>8.6467266405882773E-3</v>
      </c>
      <c r="F46" s="98">
        <f t="shared" si="1"/>
        <v>8.6467266405882773E-3</v>
      </c>
      <c r="G46" s="98"/>
      <c r="H46" s="98"/>
      <c r="I46" s="215"/>
      <c r="J46" s="98"/>
      <c r="K46" s="98"/>
      <c r="L46" s="98">
        <f>'Gathering Drwg'!G48</f>
        <v>8.6467266405882773E-3</v>
      </c>
      <c r="M46" s="98">
        <f t="shared" si="2"/>
        <v>8.6467266405882773E-3</v>
      </c>
    </row>
    <row r="47" spans="3:14" x14ac:dyDescent="0.25">
      <c r="C47" s="8" t="s">
        <v>194</v>
      </c>
      <c r="D47" s="9"/>
      <c r="E47" s="98">
        <f>'Gathering Drwg'!F49</f>
        <v>2.3178288985366783E-3</v>
      </c>
      <c r="F47" s="98">
        <f t="shared" si="1"/>
        <v>2.3178288985366783E-3</v>
      </c>
      <c r="G47" s="98"/>
      <c r="H47" s="98"/>
      <c r="I47" s="215"/>
      <c r="J47" s="98">
        <v>1</v>
      </c>
      <c r="K47" s="98">
        <v>1</v>
      </c>
      <c r="L47" s="98">
        <f>'Gathering Drwg'!G49</f>
        <v>2.3178288985366783E-3</v>
      </c>
      <c r="M47" s="98">
        <f t="shared" si="2"/>
        <v>2.3178288985366783E-3</v>
      </c>
    </row>
    <row r="48" spans="3:14" x14ac:dyDescent="0.25">
      <c r="C48" s="8" t="s">
        <v>11</v>
      </c>
      <c r="D48" s="9"/>
      <c r="E48" s="98">
        <f>'Gathering Drwg'!F50</f>
        <v>1.1999999999999999E-3</v>
      </c>
      <c r="F48" s="98">
        <f t="shared" si="1"/>
        <v>1.1999999999999999E-3</v>
      </c>
      <c r="G48" s="98"/>
      <c r="H48" s="98"/>
      <c r="I48" s="215"/>
      <c r="J48" s="98"/>
      <c r="K48" s="98"/>
      <c r="L48" s="98">
        <f>'Gathering Drwg'!G50</f>
        <v>1.1999999999999999E-3</v>
      </c>
      <c r="M48" s="98">
        <f>L48*(1+($L$49-$M$49))</f>
        <v>1.1999999999999999E-3</v>
      </c>
    </row>
    <row r="49" spans="3:13" hidden="1" x14ac:dyDescent="0.25">
      <c r="C49" s="51" t="s">
        <v>2</v>
      </c>
      <c r="D49" s="52"/>
      <c r="E49" s="98">
        <f>'Gathering Drwg'!F51</f>
        <v>0</v>
      </c>
      <c r="F49" s="98">
        <f t="shared" si="1"/>
        <v>0</v>
      </c>
      <c r="G49" s="98">
        <v>1</v>
      </c>
      <c r="H49" s="98"/>
      <c r="I49" s="98">
        <v>1</v>
      </c>
      <c r="J49" s="98"/>
      <c r="K49" s="98"/>
      <c r="L49" s="98">
        <f>'Gathering Drwg'!G51</f>
        <v>0</v>
      </c>
      <c r="M49" s="98">
        <f>L49*M36/L36</f>
        <v>0</v>
      </c>
    </row>
    <row r="50" spans="3:13" hidden="1" x14ac:dyDescent="0.25">
      <c r="C50" s="51" t="s">
        <v>266</v>
      </c>
      <c r="D50" s="52"/>
      <c r="E50" s="98"/>
      <c r="F50" s="98">
        <f t="shared" si="1"/>
        <v>0</v>
      </c>
      <c r="G50" s="98"/>
      <c r="H50" s="98"/>
      <c r="I50" s="215"/>
      <c r="J50" s="98"/>
      <c r="K50" s="98"/>
      <c r="L50" s="98"/>
      <c r="M50" s="98"/>
    </row>
    <row r="51" spans="3:13" hidden="1" x14ac:dyDescent="0.25">
      <c r="C51" s="8" t="s">
        <v>293</v>
      </c>
      <c r="D51" s="9"/>
      <c r="E51" s="98"/>
      <c r="F51" s="98">
        <f t="shared" si="1"/>
        <v>0</v>
      </c>
      <c r="G51" s="98"/>
      <c r="H51" s="98"/>
      <c r="I51" s="215"/>
      <c r="J51" s="98"/>
      <c r="K51" s="98"/>
      <c r="L51" s="98"/>
      <c r="M51" s="98"/>
    </row>
    <row r="52" spans="3:13" x14ac:dyDescent="0.25">
      <c r="C52" s="51" t="s">
        <v>294</v>
      </c>
      <c r="D52" s="52"/>
      <c r="E52" s="217">
        <f>SUM(E37:E51)</f>
        <v>1.0000287416592619</v>
      </c>
      <c r="F52" s="217">
        <f>SUM(F37:F51)</f>
        <v>1.0000287416592619</v>
      </c>
      <c r="G52" s="217">
        <f t="shared" ref="G52:K52" si="3">SUM(G37:G51)</f>
        <v>1</v>
      </c>
      <c r="H52" s="217"/>
      <c r="I52" s="217">
        <f t="shared" si="3"/>
        <v>1</v>
      </c>
      <c r="J52" s="217">
        <f t="shared" si="3"/>
        <v>1</v>
      </c>
      <c r="K52" s="217">
        <f t="shared" si="3"/>
        <v>1</v>
      </c>
      <c r="L52" s="217">
        <f>SUM(L37:L51)</f>
        <v>1.0000287416592619</v>
      </c>
      <c r="M52" s="217">
        <f>SUM(M37:M51)</f>
        <v>1.0000287416592619</v>
      </c>
    </row>
    <row r="53" spans="3:13" x14ac:dyDescent="0.25">
      <c r="C53" s="4" t="s">
        <v>500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102"/>
  <sheetViews>
    <sheetView workbookViewId="0">
      <selection activeCell="L57" sqref="L57"/>
    </sheetView>
  </sheetViews>
  <sheetFormatPr defaultColWidth="9.140625" defaultRowHeight="15" x14ac:dyDescent="0.25"/>
  <cols>
    <col min="1" max="1" width="6" style="4" customWidth="1"/>
    <col min="2" max="2" width="7.5703125" style="4" customWidth="1"/>
    <col min="3" max="3" width="13.140625" style="4" customWidth="1"/>
    <col min="4" max="4" width="9.140625" style="4"/>
    <col min="5" max="5" width="12" style="4" bestFit="1" customWidth="1"/>
    <col min="6" max="8" width="9.140625" style="4"/>
    <col min="9" max="9" width="12" style="4" bestFit="1" customWidth="1"/>
    <col min="10" max="10" width="10.140625" style="4" bestFit="1" customWidth="1"/>
    <col min="11" max="12" width="9.140625" style="4"/>
    <col min="13" max="13" width="10.85546875" style="4" customWidth="1"/>
    <col min="14" max="14" width="9.140625" style="4"/>
    <col min="15" max="15" width="11" style="4" bestFit="1" customWidth="1"/>
    <col min="16" max="16" width="9" style="4" customWidth="1"/>
    <col min="17" max="20" width="9.140625" style="4"/>
    <col min="21" max="21" width="10" style="4" customWidth="1"/>
    <col min="22" max="16384" width="9.140625" style="4"/>
  </cols>
  <sheetData>
    <row r="1" spans="2:22" x14ac:dyDescent="0.25">
      <c r="B1" s="284" t="s">
        <v>217</v>
      </c>
    </row>
    <row r="4" spans="2:22" x14ac:dyDescent="0.25">
      <c r="M4" s="4" t="s">
        <v>19</v>
      </c>
      <c r="T4" s="4" t="s">
        <v>265</v>
      </c>
    </row>
    <row r="5" spans="2:22" x14ac:dyDescent="0.25">
      <c r="M5" s="4" t="s">
        <v>262</v>
      </c>
      <c r="T5" s="4" t="s">
        <v>84</v>
      </c>
    </row>
    <row r="6" spans="2:22" x14ac:dyDescent="0.25">
      <c r="J6" s="4" t="s">
        <v>19</v>
      </c>
      <c r="M6" s="4" t="s">
        <v>19</v>
      </c>
    </row>
    <row r="7" spans="2:22" x14ac:dyDescent="0.25">
      <c r="G7" s="62" t="s">
        <v>19</v>
      </c>
      <c r="H7" s="62" t="s">
        <v>19</v>
      </c>
      <c r="I7" s="4" t="s">
        <v>19</v>
      </c>
      <c r="S7" s="4" t="s">
        <v>263</v>
      </c>
    </row>
    <row r="8" spans="2:22" x14ac:dyDescent="0.25">
      <c r="P8" s="4" t="s">
        <v>19</v>
      </c>
      <c r="V8" s="4" t="s">
        <v>268</v>
      </c>
    </row>
    <row r="9" spans="2:22" x14ac:dyDescent="0.25">
      <c r="H9" s="4" t="s">
        <v>266</v>
      </c>
      <c r="T9" s="62" t="s">
        <v>19</v>
      </c>
    </row>
    <row r="10" spans="2:22" x14ac:dyDescent="0.25">
      <c r="H10" s="4" t="s">
        <v>267</v>
      </c>
      <c r="T10" s="4" t="s">
        <v>19</v>
      </c>
    </row>
    <row r="12" spans="2:22" x14ac:dyDescent="0.25">
      <c r="Q12" s="62" t="s">
        <v>19</v>
      </c>
    </row>
    <row r="13" spans="2:22" x14ac:dyDescent="0.25">
      <c r="J13" s="62" t="s">
        <v>19</v>
      </c>
    </row>
    <row r="15" spans="2:22" x14ac:dyDescent="0.25">
      <c r="D15" s="4" t="s">
        <v>19</v>
      </c>
    </row>
    <row r="16" spans="2:22" x14ac:dyDescent="0.25">
      <c r="T16" s="4" t="s">
        <v>264</v>
      </c>
    </row>
    <row r="17" spans="1:18" x14ac:dyDescent="0.25">
      <c r="A17" s="71">
        <f>D52</f>
        <v>192.67980951413438</v>
      </c>
      <c r="B17" s="4" t="s">
        <v>17</v>
      </c>
      <c r="I17" s="62" t="s">
        <v>19</v>
      </c>
      <c r="P17" s="62" t="s">
        <v>19</v>
      </c>
    </row>
    <row r="18" spans="1:18" x14ac:dyDescent="0.25">
      <c r="A18" s="71">
        <f>D57</f>
        <v>437.5</v>
      </c>
      <c r="B18" s="4" t="s">
        <v>123</v>
      </c>
      <c r="D18" s="4" t="s">
        <v>19</v>
      </c>
    </row>
    <row r="19" spans="1:18" x14ac:dyDescent="0.25">
      <c r="A19" s="71">
        <f>D58</f>
        <v>80</v>
      </c>
      <c r="B19" s="4" t="s">
        <v>259</v>
      </c>
      <c r="J19" s="62" t="s">
        <v>19</v>
      </c>
      <c r="K19" s="62" t="s">
        <v>19</v>
      </c>
    </row>
    <row r="20" spans="1:18" x14ac:dyDescent="0.25">
      <c r="A20" s="106"/>
      <c r="L20" s="62" t="s">
        <v>19</v>
      </c>
    </row>
    <row r="21" spans="1:18" ht="20.25" customHeight="1" x14ac:dyDescent="0.25">
      <c r="J21" s="4" t="s">
        <v>19</v>
      </c>
      <c r="O21" s="62" t="s">
        <v>19</v>
      </c>
      <c r="R21" s="62" t="s">
        <v>19</v>
      </c>
    </row>
    <row r="23" spans="1:18" x14ac:dyDescent="0.25">
      <c r="J23" s="4" t="s">
        <v>19</v>
      </c>
      <c r="K23" s="4" t="s">
        <v>19</v>
      </c>
    </row>
    <row r="24" spans="1:18" x14ac:dyDescent="0.25">
      <c r="D24" s="4" t="s">
        <v>19</v>
      </c>
      <c r="G24" s="4" t="s">
        <v>19</v>
      </c>
      <c r="R24" s="4" t="s">
        <v>19</v>
      </c>
    </row>
    <row r="25" spans="1:18" x14ac:dyDescent="0.25">
      <c r="C25" s="4" t="s">
        <v>19</v>
      </c>
      <c r="Q25" s="62" t="s">
        <v>19</v>
      </c>
      <c r="R25" s="4" t="s">
        <v>19</v>
      </c>
    </row>
    <row r="26" spans="1:18" x14ac:dyDescent="0.25">
      <c r="C26" s="4" t="s">
        <v>19</v>
      </c>
      <c r="R26" s="4" t="s">
        <v>19</v>
      </c>
    </row>
    <row r="27" spans="1:18" x14ac:dyDescent="0.25">
      <c r="C27" s="4" t="s">
        <v>269</v>
      </c>
      <c r="L27" s="4" t="s">
        <v>261</v>
      </c>
      <c r="R27" s="4" t="s">
        <v>19</v>
      </c>
    </row>
    <row r="28" spans="1:18" x14ac:dyDescent="0.25">
      <c r="C28" s="4" t="s">
        <v>19</v>
      </c>
      <c r="H28" s="4" t="s">
        <v>19</v>
      </c>
    </row>
    <row r="30" spans="1:18" x14ac:dyDescent="0.25">
      <c r="P30" s="237">
        <v>0.3</v>
      </c>
      <c r="Q30" s="62" t="s">
        <v>537</v>
      </c>
    </row>
    <row r="31" spans="1:18" x14ac:dyDescent="0.25">
      <c r="J31" s="4" t="s">
        <v>19</v>
      </c>
      <c r="Q31" s="4" t="s">
        <v>19</v>
      </c>
    </row>
    <row r="32" spans="1:18" x14ac:dyDescent="0.25">
      <c r="J32" s="4" t="s">
        <v>19</v>
      </c>
    </row>
    <row r="35" spans="3:22" x14ac:dyDescent="0.25">
      <c r="L35" s="4" t="s">
        <v>258</v>
      </c>
    </row>
    <row r="38" spans="3:22" x14ac:dyDescent="0.25">
      <c r="D38" s="4" t="s">
        <v>256</v>
      </c>
    </row>
    <row r="40" spans="3:22" x14ac:dyDescent="0.25">
      <c r="F40" s="4" t="s">
        <v>257</v>
      </c>
      <c r="H40" s="4" t="s">
        <v>255</v>
      </c>
    </row>
    <row r="45" spans="3:22" x14ac:dyDescent="0.25">
      <c r="C45" s="4" t="s">
        <v>402</v>
      </c>
      <c r="E45" s="4" t="s">
        <v>619</v>
      </c>
      <c r="G45" s="4" t="s">
        <v>404</v>
      </c>
      <c r="I45" s="4" t="s">
        <v>403</v>
      </c>
      <c r="K45" s="4" t="s">
        <v>405</v>
      </c>
      <c r="M45" s="4" t="s">
        <v>413</v>
      </c>
      <c r="P45" s="4" t="s">
        <v>538</v>
      </c>
      <c r="R45" s="4" t="s">
        <v>539</v>
      </c>
      <c r="U45" s="4" t="s">
        <v>540</v>
      </c>
    </row>
    <row r="46" spans="3:22" x14ac:dyDescent="0.25">
      <c r="E46" s="71">
        <f>J55/24/60*31</f>
        <v>3.2536641996278339</v>
      </c>
      <c r="F46" s="4" t="s">
        <v>260</v>
      </c>
      <c r="G46" s="156">
        <f>B81</f>
        <v>206.40824594201638</v>
      </c>
      <c r="H46" s="4" t="s">
        <v>260</v>
      </c>
      <c r="I46" s="71">
        <f>B88</f>
        <v>13.375254337042662</v>
      </c>
      <c r="J46" s="4" t="s">
        <v>44</v>
      </c>
      <c r="K46" s="156">
        <f>I87</f>
        <v>27.296306347835703</v>
      </c>
      <c r="L46" s="4" t="s">
        <v>260</v>
      </c>
      <c r="M46" s="71">
        <f>I90</f>
        <v>3.2755567617402845</v>
      </c>
      <c r="N46" s="4" t="s">
        <v>44</v>
      </c>
      <c r="P46" s="4">
        <f>U52</f>
        <v>15</v>
      </c>
      <c r="Q46" s="4" t="s">
        <v>17</v>
      </c>
      <c r="R46" s="4">
        <v>12</v>
      </c>
      <c r="S46" s="4" t="s">
        <v>44</v>
      </c>
      <c r="U46" s="71">
        <f>'Hp Est Tool'!Q25</f>
        <v>8596.2844595969218</v>
      </c>
      <c r="V46" s="4" t="s">
        <v>41</v>
      </c>
    </row>
    <row r="47" spans="3:22" x14ac:dyDescent="0.25">
      <c r="E47" s="99">
        <f>80*E46/1715/0.75</f>
        <v>0.20236589774167288</v>
      </c>
      <c r="F47" s="4" t="s">
        <v>41</v>
      </c>
      <c r="G47" s="71">
        <f>(N57-P57)*G46/1715/0.75</f>
        <v>66.788813963900651</v>
      </c>
      <c r="H47" s="4" t="s">
        <v>41</v>
      </c>
      <c r="K47" s="71">
        <f>(O57)*K46/1715/0.75</f>
        <v>8.860025578403425</v>
      </c>
      <c r="L47" s="4" t="s">
        <v>41</v>
      </c>
    </row>
    <row r="48" spans="3:22" x14ac:dyDescent="0.25">
      <c r="P48" s="5" t="s">
        <v>542</v>
      </c>
    </row>
    <row r="49" spans="2:22" x14ac:dyDescent="0.25">
      <c r="P49" s="71">
        <f>'Hp Est Tool'!Q70</f>
        <v>255</v>
      </c>
      <c r="Q49" s="4" t="s">
        <v>541</v>
      </c>
    </row>
    <row r="51" spans="2:22" x14ac:dyDescent="0.25">
      <c r="B51" s="205" t="s">
        <v>278</v>
      </c>
      <c r="C51" s="206"/>
      <c r="D51" s="229">
        <v>10</v>
      </c>
      <c r="E51" s="229">
        <v>12</v>
      </c>
      <c r="F51" s="229">
        <v>13</v>
      </c>
      <c r="G51" s="229">
        <v>14</v>
      </c>
      <c r="H51" s="229" t="s">
        <v>505</v>
      </c>
      <c r="I51" s="229" t="s">
        <v>506</v>
      </c>
      <c r="J51" s="229">
        <v>17</v>
      </c>
      <c r="K51" s="229">
        <v>18</v>
      </c>
      <c r="L51" s="229">
        <v>19</v>
      </c>
      <c r="M51" s="229">
        <v>20</v>
      </c>
      <c r="N51" s="229">
        <v>21</v>
      </c>
      <c r="O51" s="229">
        <v>22</v>
      </c>
      <c r="P51" s="229">
        <v>23</v>
      </c>
      <c r="Q51" s="229">
        <v>24</v>
      </c>
      <c r="R51" s="229">
        <v>25</v>
      </c>
      <c r="S51" s="229">
        <v>26</v>
      </c>
      <c r="T51" s="229">
        <v>27</v>
      </c>
      <c r="U51" s="229">
        <v>28</v>
      </c>
      <c r="V51" s="229">
        <v>29</v>
      </c>
    </row>
    <row r="52" spans="2:22" x14ac:dyDescent="0.25">
      <c r="B52" s="8" t="s">
        <v>17</v>
      </c>
      <c r="C52" s="9"/>
      <c r="D52" s="208">
        <f>'Booster Drwg'!M30</f>
        <v>192.67980951413438</v>
      </c>
      <c r="E52" s="208">
        <f>D52</f>
        <v>192.67980951413438</v>
      </c>
      <c r="F52" s="10"/>
      <c r="G52" s="10"/>
      <c r="H52" s="10"/>
      <c r="I52" s="10"/>
      <c r="J52" s="10"/>
      <c r="K52" s="10"/>
      <c r="L52" s="75">
        <f>P30*42*H53*'Prop Est'!M15/'Prop Est'!E15*'Prop Est'!AV14/1000000</f>
        <v>0</v>
      </c>
      <c r="M52" s="77"/>
      <c r="N52" s="10"/>
      <c r="O52" s="77">
        <f>E52*E63/O63</f>
        <v>191.02854354659826</v>
      </c>
      <c r="P52" s="75">
        <f>E52-O52</f>
        <v>1.6512659675361192</v>
      </c>
      <c r="Q52" s="10"/>
      <c r="R52" s="77">
        <f>O52-S52</f>
        <v>0</v>
      </c>
      <c r="S52" s="77">
        <f>O52*O63/S63</f>
        <v>191.02854354659826</v>
      </c>
      <c r="T52" s="77">
        <f>S52</f>
        <v>191.02854354659826</v>
      </c>
      <c r="U52" s="244">
        <v>15</v>
      </c>
      <c r="V52" s="77">
        <f>T52</f>
        <v>191.02854354659826</v>
      </c>
    </row>
    <row r="53" spans="2:22" x14ac:dyDescent="0.25">
      <c r="B53" s="8" t="s">
        <v>497</v>
      </c>
      <c r="C53" s="9"/>
      <c r="D53" s="293">
        <v>0</v>
      </c>
      <c r="E53" s="208">
        <v>0</v>
      </c>
      <c r="F53" s="208">
        <f>D53+E53</f>
        <v>0</v>
      </c>
      <c r="G53" s="10"/>
      <c r="H53" s="208">
        <f>F53-I53</f>
        <v>0</v>
      </c>
      <c r="I53" s="10"/>
      <c r="J53" s="10"/>
      <c r="K53" s="208">
        <f>H53*(1-P30)</f>
        <v>0</v>
      </c>
      <c r="L53" s="10"/>
      <c r="M53" s="77">
        <f>K53</f>
        <v>0</v>
      </c>
      <c r="N53" s="10"/>
      <c r="O53" s="77"/>
      <c r="P53" s="75"/>
      <c r="Q53" s="10"/>
      <c r="R53" s="77"/>
      <c r="S53" s="77"/>
      <c r="T53" s="77"/>
      <c r="U53" s="10"/>
      <c r="V53" s="10"/>
    </row>
    <row r="54" spans="2:22" x14ac:dyDescent="0.25">
      <c r="B54" s="8" t="s">
        <v>490</v>
      </c>
      <c r="C54" s="9"/>
      <c r="D54" s="208">
        <f>'Booster Drwg'!M32</f>
        <v>151.13794991819617</v>
      </c>
      <c r="E54" s="208">
        <v>0</v>
      </c>
      <c r="F54" s="10"/>
      <c r="G54" s="208">
        <f>D54</f>
        <v>151.13794991819617</v>
      </c>
      <c r="H54" s="10"/>
      <c r="I54" s="208">
        <v>0</v>
      </c>
      <c r="J54" s="208">
        <f>G54</f>
        <v>151.13794991819617</v>
      </c>
      <c r="K54" s="10"/>
      <c r="L54" s="10"/>
      <c r="M54" s="77"/>
      <c r="N54" s="10"/>
      <c r="O54" s="77"/>
      <c r="P54" s="75"/>
      <c r="Q54" s="10"/>
      <c r="R54" s="77">
        <f>(O59-S59)*O52/'Prop Est'!M19/42</f>
        <v>60.190788572706182</v>
      </c>
      <c r="S54" s="77"/>
      <c r="T54" s="77"/>
      <c r="U54" s="10"/>
      <c r="V54" s="10"/>
    </row>
    <row r="55" spans="2:22" x14ac:dyDescent="0.25">
      <c r="B55" s="215" t="s">
        <v>498</v>
      </c>
      <c r="C55" s="9"/>
      <c r="D55" s="208">
        <f>D53+D54</f>
        <v>151.13794991819617</v>
      </c>
      <c r="E55" s="208">
        <f>E53+E54</f>
        <v>0</v>
      </c>
      <c r="F55" s="208">
        <f>F53+F54</f>
        <v>0</v>
      </c>
      <c r="G55" s="208">
        <f>G53+G54</f>
        <v>151.13794991819617</v>
      </c>
      <c r="H55" s="208">
        <f>H53+H54</f>
        <v>0</v>
      </c>
      <c r="I55" s="10"/>
      <c r="J55" s="208">
        <f>J53+J54</f>
        <v>151.13794991819617</v>
      </c>
      <c r="K55" s="208">
        <f>K53+K54</f>
        <v>0</v>
      </c>
      <c r="L55" s="10"/>
      <c r="M55" s="208">
        <f>M53+M54</f>
        <v>0</v>
      </c>
      <c r="N55" s="10"/>
      <c r="O55" s="10"/>
      <c r="P55" s="10"/>
      <c r="Q55" s="10"/>
      <c r="R55" s="10"/>
      <c r="S55" s="10"/>
      <c r="T55" s="10"/>
      <c r="U55" s="10"/>
      <c r="V55" s="10"/>
    </row>
    <row r="56" spans="2:22" x14ac:dyDescent="0.25">
      <c r="B56" s="8" t="s">
        <v>501</v>
      </c>
      <c r="C56" s="9"/>
      <c r="E56" s="10"/>
      <c r="F56" s="77"/>
      <c r="G56" s="77"/>
      <c r="H56" s="77"/>
      <c r="I56" s="77"/>
      <c r="J56" s="77"/>
      <c r="K56" s="10"/>
      <c r="L56" s="10"/>
      <c r="M56" s="10"/>
      <c r="N56" s="209">
        <f>B81</f>
        <v>206.40824594201638</v>
      </c>
      <c r="O56" s="10"/>
      <c r="P56" s="10" t="s">
        <v>19</v>
      </c>
      <c r="Q56" s="209">
        <f>I87</f>
        <v>27.296306347835703</v>
      </c>
      <c r="R56" s="10"/>
      <c r="S56" s="10"/>
      <c r="T56" s="10"/>
      <c r="U56" s="10"/>
      <c r="V56" s="77"/>
    </row>
    <row r="57" spans="2:22" x14ac:dyDescent="0.25">
      <c r="B57" s="22" t="s">
        <v>280</v>
      </c>
      <c r="C57" s="23"/>
      <c r="D57" s="208">
        <f>'Booster Drwg'!M34</f>
        <v>437.5</v>
      </c>
      <c r="E57" s="208">
        <f>D57</f>
        <v>437.5</v>
      </c>
      <c r="F57" s="208">
        <f>E57</f>
        <v>437.5</v>
      </c>
      <c r="G57" s="208">
        <f>D57</f>
        <v>437.5</v>
      </c>
      <c r="H57" s="293">
        <f>G57/2</f>
        <v>218.75</v>
      </c>
      <c r="I57" s="10"/>
      <c r="J57" s="293">
        <v>0</v>
      </c>
      <c r="K57" s="293">
        <v>30</v>
      </c>
      <c r="L57" s="293">
        <f>D57</f>
        <v>437.5</v>
      </c>
      <c r="M57" s="208">
        <f>K57</f>
        <v>30</v>
      </c>
      <c r="N57" s="208">
        <f>E57-10</f>
        <v>427.5</v>
      </c>
      <c r="O57" s="208">
        <f>N57-10</f>
        <v>417.5</v>
      </c>
      <c r="P57" s="244">
        <f>26-14.7</f>
        <v>11.3</v>
      </c>
      <c r="Q57" s="208">
        <f>O57-10</f>
        <v>407.5</v>
      </c>
      <c r="R57" s="10"/>
      <c r="S57" s="208">
        <f>O57-10</f>
        <v>407.5</v>
      </c>
      <c r="T57" s="208">
        <f>S57</f>
        <v>407.5</v>
      </c>
      <c r="U57" s="208">
        <f>D57</f>
        <v>437.5</v>
      </c>
      <c r="V57" s="293">
        <v>850</v>
      </c>
    </row>
    <row r="58" spans="2:22" x14ac:dyDescent="0.25">
      <c r="B58" s="8" t="s">
        <v>279</v>
      </c>
      <c r="C58" s="9"/>
      <c r="D58" s="208">
        <f>'Booster Drwg'!M35</f>
        <v>80</v>
      </c>
      <c r="E58" s="208">
        <f>D58</f>
        <v>80</v>
      </c>
      <c r="F58" s="208">
        <f>E58</f>
        <v>80</v>
      </c>
      <c r="G58" s="208">
        <f>D58</f>
        <v>80</v>
      </c>
      <c r="H58" s="208">
        <f>G58</f>
        <v>80</v>
      </c>
      <c r="I58" s="10"/>
      <c r="J58" s="208">
        <f>G58</f>
        <v>80</v>
      </c>
      <c r="K58" s="244">
        <v>200</v>
      </c>
      <c r="L58" s="244">
        <v>120</v>
      </c>
      <c r="M58" s="244">
        <v>80</v>
      </c>
      <c r="N58" s="244">
        <v>100</v>
      </c>
      <c r="O58" s="244">
        <v>100</v>
      </c>
      <c r="P58" s="244">
        <v>120</v>
      </c>
      <c r="Q58" s="10">
        <v>120</v>
      </c>
      <c r="R58" s="10"/>
      <c r="S58" s="10">
        <v>160</v>
      </c>
      <c r="T58" s="10">
        <v>100</v>
      </c>
      <c r="U58" s="10">
        <v>100</v>
      </c>
      <c r="V58" s="10">
        <v>120</v>
      </c>
    </row>
    <row r="59" spans="2:22" x14ac:dyDescent="0.25">
      <c r="B59" s="8" t="s">
        <v>484</v>
      </c>
      <c r="C59" s="9"/>
      <c r="D59" s="208">
        <f>'Booster Drwg'!M36</f>
        <v>31.742848595790953</v>
      </c>
      <c r="E59" s="208">
        <f t="shared" ref="E59:E75" si="0">D59</f>
        <v>31.742848595790953</v>
      </c>
      <c r="F59" s="10"/>
      <c r="G59" s="10"/>
      <c r="H59" s="10"/>
      <c r="I59" s="10"/>
      <c r="J59" s="10"/>
      <c r="K59" s="10"/>
      <c r="L59" s="10"/>
      <c r="M59" s="10"/>
      <c r="N59" s="10"/>
      <c r="O59" s="208">
        <f>'Water Content'!Z49</f>
        <v>117.32929943658502</v>
      </c>
      <c r="P59" s="10">
        <v>5000</v>
      </c>
      <c r="Q59" s="10"/>
      <c r="R59" s="10"/>
      <c r="S59" s="10">
        <v>7</v>
      </c>
      <c r="T59" s="10"/>
      <c r="U59" s="10">
        <v>200</v>
      </c>
      <c r="V59" s="10"/>
    </row>
    <row r="60" spans="2:22" x14ac:dyDescent="0.25">
      <c r="B60" s="22" t="s">
        <v>281</v>
      </c>
      <c r="C60" s="23"/>
      <c r="D60" s="217">
        <f>'Booster Drwg'!M37</f>
        <v>5.1700000000000001E-3</v>
      </c>
      <c r="E60" s="217">
        <f t="shared" si="0"/>
        <v>5.1700000000000001E-3</v>
      </c>
      <c r="F60" s="98"/>
      <c r="G60" s="98"/>
      <c r="H60" s="98"/>
      <c r="I60" s="98"/>
      <c r="J60" s="98"/>
      <c r="K60" s="98"/>
      <c r="L60" s="98"/>
      <c r="M60" s="98"/>
      <c r="N60" s="98"/>
      <c r="O60" s="98">
        <v>5.0899999999999999E-3</v>
      </c>
      <c r="P60" s="238">
        <v>6.6440000000000005E-7</v>
      </c>
      <c r="Q60" s="98"/>
      <c r="R60" s="98"/>
      <c r="S60" s="98">
        <f t="shared" ref="S60:S71" si="1">($O$72-$S$72)*O60+O60</f>
        <v>5.0899999999999999E-3</v>
      </c>
      <c r="T60" s="98">
        <f>S60</f>
        <v>5.0899999999999999E-3</v>
      </c>
      <c r="U60" s="98"/>
      <c r="V60" s="98">
        <f>T60</f>
        <v>5.0899999999999999E-3</v>
      </c>
    </row>
    <row r="61" spans="2:22" x14ac:dyDescent="0.25">
      <c r="B61" s="8" t="s">
        <v>4</v>
      </c>
      <c r="C61" s="9"/>
      <c r="D61" s="217">
        <f>'Booster Drwg'!M38</f>
        <v>1.6199999999999999E-2</v>
      </c>
      <c r="E61" s="217">
        <f t="shared" si="0"/>
        <v>1.6199999999999999E-2</v>
      </c>
      <c r="F61" s="98"/>
      <c r="G61" s="98"/>
      <c r="H61" s="98"/>
      <c r="I61" s="98"/>
      <c r="J61" s="98"/>
      <c r="K61" s="98"/>
      <c r="L61" s="98"/>
      <c r="M61" s="98"/>
      <c r="N61" s="98">
        <v>7.8600000000000002E-4</v>
      </c>
      <c r="O61" s="98">
        <v>7.6499999999999997E-3</v>
      </c>
      <c r="P61" s="238">
        <v>0.93066300000000002</v>
      </c>
      <c r="Q61" s="98"/>
      <c r="R61" s="98"/>
      <c r="S61" s="98">
        <f t="shared" si="1"/>
        <v>7.6499999999999997E-3</v>
      </c>
      <c r="T61" s="98">
        <f t="shared" ref="T61:T71" si="2">S61</f>
        <v>7.6499999999999997E-3</v>
      </c>
      <c r="U61" s="98"/>
      <c r="V61" s="98">
        <f t="shared" ref="V61:V74" si="3">T61</f>
        <v>7.6499999999999997E-3</v>
      </c>
    </row>
    <row r="62" spans="2:22" x14ac:dyDescent="0.25">
      <c r="B62" s="22" t="s">
        <v>3</v>
      </c>
      <c r="C62" s="23"/>
      <c r="D62" s="217">
        <f>'Booster Drwg'!M39</f>
        <v>2.0000000000000002E-5</v>
      </c>
      <c r="E62" s="217">
        <f t="shared" si="0"/>
        <v>2.0000000000000002E-5</v>
      </c>
      <c r="F62" s="218"/>
      <c r="G62" s="218"/>
      <c r="H62" s="218"/>
      <c r="I62" s="218"/>
      <c r="J62" s="218"/>
      <c r="K62" s="218"/>
      <c r="L62" s="218"/>
      <c r="M62" s="98"/>
      <c r="N62" s="218">
        <v>0</v>
      </c>
      <c r="O62" s="218">
        <v>0</v>
      </c>
      <c r="P62" s="238">
        <v>0</v>
      </c>
      <c r="Q62" s="218"/>
      <c r="R62" s="218"/>
      <c r="S62" s="98">
        <f t="shared" si="1"/>
        <v>0</v>
      </c>
      <c r="T62" s="98">
        <f t="shared" si="2"/>
        <v>0</v>
      </c>
      <c r="U62" s="218"/>
      <c r="V62" s="98">
        <f t="shared" si="3"/>
        <v>0</v>
      </c>
    </row>
    <row r="63" spans="2:22" x14ac:dyDescent="0.25">
      <c r="B63" s="8" t="s">
        <v>6</v>
      </c>
      <c r="C63" s="9"/>
      <c r="D63" s="217">
        <f>'Booster Drwg'!M40</f>
        <v>0.78068060303845899</v>
      </c>
      <c r="E63" s="217">
        <f t="shared" si="0"/>
        <v>0.78068060303845899</v>
      </c>
      <c r="F63" s="98"/>
      <c r="G63" s="98"/>
      <c r="H63" s="98"/>
      <c r="I63" s="98"/>
      <c r="J63" s="98"/>
      <c r="K63" s="98"/>
      <c r="L63" s="98"/>
      <c r="M63" s="98"/>
      <c r="N63" s="98"/>
      <c r="O63" s="98">
        <f>D63/(1-($D$61-$O$61)-($D$62-$O$62))</f>
        <v>0.78742886844099835</v>
      </c>
      <c r="P63" s="238">
        <v>1.5336099999999999E-3</v>
      </c>
      <c r="Q63" s="98"/>
      <c r="R63" s="98"/>
      <c r="S63" s="98">
        <f t="shared" si="1"/>
        <v>0.78742886844099835</v>
      </c>
      <c r="T63" s="98">
        <f t="shared" si="2"/>
        <v>0.78742886844099835</v>
      </c>
      <c r="U63" s="98">
        <v>1</v>
      </c>
      <c r="V63" s="98">
        <f t="shared" si="3"/>
        <v>0.78742886844099835</v>
      </c>
    </row>
    <row r="64" spans="2:22" x14ac:dyDescent="0.25">
      <c r="B64" s="22" t="s">
        <v>7</v>
      </c>
      <c r="C64" s="23"/>
      <c r="D64" s="217">
        <f>'Booster Drwg'!M41</f>
        <v>9.8900000000000002E-2</v>
      </c>
      <c r="E64" s="217">
        <f t="shared" si="0"/>
        <v>9.8900000000000002E-2</v>
      </c>
      <c r="F64" s="98"/>
      <c r="G64" s="98"/>
      <c r="H64" s="98"/>
      <c r="I64" s="98"/>
      <c r="J64" s="98"/>
      <c r="K64" s="98"/>
      <c r="L64" s="98"/>
      <c r="M64" s="98"/>
      <c r="N64" s="98"/>
      <c r="O64" s="98">
        <f t="shared" ref="O64:O71" si="4">D64/(1-($D$61-$O$61)-($D$62-$O$62))</f>
        <v>9.9754899488617446E-2</v>
      </c>
      <c r="P64" s="238">
        <v>7.1100000000000004E-4</v>
      </c>
      <c r="Q64" s="98"/>
      <c r="R64" s="98"/>
      <c r="S64" s="98">
        <f t="shared" si="1"/>
        <v>9.9754899488617446E-2</v>
      </c>
      <c r="T64" s="98">
        <f t="shared" si="2"/>
        <v>9.9754899488617446E-2</v>
      </c>
      <c r="U64" s="98"/>
      <c r="V64" s="98">
        <f t="shared" si="3"/>
        <v>9.9754899488617446E-2</v>
      </c>
    </row>
    <row r="65" spans="2:22" x14ac:dyDescent="0.25">
      <c r="B65" s="8" t="s">
        <v>8</v>
      </c>
      <c r="C65" s="9"/>
      <c r="D65" s="217">
        <f>'Booster Drwg'!M42</f>
        <v>5.6728247513815354E-2</v>
      </c>
      <c r="E65" s="217">
        <f t="shared" si="0"/>
        <v>5.6728247513815354E-2</v>
      </c>
      <c r="F65" s="98"/>
      <c r="G65" s="98"/>
      <c r="H65" s="98"/>
      <c r="I65" s="98"/>
      <c r="J65" s="98"/>
      <c r="K65" s="98"/>
      <c r="L65" s="98"/>
      <c r="M65" s="98"/>
      <c r="N65" s="98"/>
      <c r="O65" s="98">
        <f t="shared" si="4"/>
        <v>5.7218611010172532E-2</v>
      </c>
      <c r="P65" s="238">
        <v>2.9500000000000001E-4</v>
      </c>
      <c r="Q65" s="98"/>
      <c r="R65" s="98"/>
      <c r="S65" s="98">
        <f t="shared" si="1"/>
        <v>5.7218611010172532E-2</v>
      </c>
      <c r="T65" s="98">
        <f t="shared" si="2"/>
        <v>5.7218611010172532E-2</v>
      </c>
      <c r="U65" s="98"/>
      <c r="V65" s="98">
        <f t="shared" si="3"/>
        <v>5.7218611010172532E-2</v>
      </c>
    </row>
    <row r="66" spans="2:22" x14ac:dyDescent="0.25">
      <c r="B66" s="22" t="s">
        <v>9</v>
      </c>
      <c r="C66" s="23"/>
      <c r="D66" s="217">
        <f>'Booster Drwg'!M43</f>
        <v>9.8111258104631154E-3</v>
      </c>
      <c r="E66" s="217">
        <f t="shared" si="0"/>
        <v>9.8111258104631154E-3</v>
      </c>
      <c r="F66" s="98"/>
      <c r="G66" s="98"/>
      <c r="H66" s="98"/>
      <c r="I66" s="98"/>
      <c r="J66" s="98"/>
      <c r="K66" s="98"/>
      <c r="L66" s="98"/>
      <c r="M66" s="98"/>
      <c r="N66" s="98"/>
      <c r="O66" s="98">
        <f t="shared" si="4"/>
        <v>9.8959339645392167E-3</v>
      </c>
      <c r="P66" s="238">
        <f>0.00007623/3</f>
        <v>2.5409999999999999E-5</v>
      </c>
      <c r="Q66" s="98"/>
      <c r="R66" s="98"/>
      <c r="S66" s="98">
        <f t="shared" si="1"/>
        <v>9.8959339645392167E-3</v>
      </c>
      <c r="T66" s="98">
        <f t="shared" si="2"/>
        <v>9.8959339645392167E-3</v>
      </c>
      <c r="U66" s="98"/>
      <c r="V66" s="98">
        <f t="shared" si="3"/>
        <v>9.8959339645392167E-3</v>
      </c>
    </row>
    <row r="67" spans="2:22" x14ac:dyDescent="0.25">
      <c r="B67" s="8" t="s">
        <v>10</v>
      </c>
      <c r="C67" s="9"/>
      <c r="D67" s="217">
        <f>'Booster Drwg'!M44</f>
        <v>1.4188959438735479E-2</v>
      </c>
      <c r="E67" s="217">
        <f t="shared" si="0"/>
        <v>1.4188959438735479E-2</v>
      </c>
      <c r="F67" s="98"/>
      <c r="G67" s="98"/>
      <c r="H67" s="98"/>
      <c r="I67" s="98"/>
      <c r="J67" s="98"/>
      <c r="K67" s="98"/>
      <c r="L67" s="98"/>
      <c r="M67" s="98"/>
      <c r="N67" s="98"/>
      <c r="O67" s="98">
        <f t="shared" si="4"/>
        <v>1.4311609935886023E-2</v>
      </c>
      <c r="P67" s="238">
        <f>0.00007623/3*2</f>
        <v>5.0819999999999998E-5</v>
      </c>
      <c r="Q67" s="98"/>
      <c r="R67" s="98"/>
      <c r="S67" s="98">
        <f t="shared" si="1"/>
        <v>1.4311609935886023E-2</v>
      </c>
      <c r="T67" s="98">
        <f t="shared" si="2"/>
        <v>1.4311609935886023E-2</v>
      </c>
      <c r="U67" s="98"/>
      <c r="V67" s="98">
        <f t="shared" si="3"/>
        <v>1.4311609935886023E-2</v>
      </c>
    </row>
    <row r="68" spans="2:22" x14ac:dyDescent="0.25">
      <c r="B68" s="22" t="s">
        <v>237</v>
      </c>
      <c r="C68" s="23"/>
      <c r="D68" s="217">
        <f>'Booster Drwg'!M45</f>
        <v>6.1652503186639647E-3</v>
      </c>
      <c r="E68" s="217">
        <f t="shared" si="0"/>
        <v>6.1652503186639647E-3</v>
      </c>
      <c r="F68" s="98"/>
      <c r="G68" s="98"/>
      <c r="H68" s="98"/>
      <c r="I68" s="98"/>
      <c r="J68" s="98"/>
      <c r="K68" s="98"/>
      <c r="L68" s="98"/>
      <c r="M68" s="98"/>
      <c r="N68" s="98"/>
      <c r="O68" s="98">
        <f t="shared" si="4"/>
        <v>6.2185432341808951E-3</v>
      </c>
      <c r="P68" s="238">
        <f>0.0000296/3</f>
        <v>9.8666666666666665E-6</v>
      </c>
      <c r="Q68" s="98"/>
      <c r="R68" s="98"/>
      <c r="S68" s="98">
        <f t="shared" si="1"/>
        <v>6.2185432341808951E-3</v>
      </c>
      <c r="T68" s="98">
        <f t="shared" si="2"/>
        <v>6.2185432341808951E-3</v>
      </c>
      <c r="U68" s="98"/>
      <c r="V68" s="98">
        <f t="shared" si="3"/>
        <v>6.2185432341808951E-3</v>
      </c>
    </row>
    <row r="69" spans="2:22" x14ac:dyDescent="0.25">
      <c r="B69" s="8" t="s">
        <v>238</v>
      </c>
      <c r="C69" s="9"/>
      <c r="D69" s="217">
        <f>'Booster Drwg'!M46</f>
        <v>8.6467266405882773E-3</v>
      </c>
      <c r="E69" s="217">
        <f t="shared" si="0"/>
        <v>8.6467266405882773E-3</v>
      </c>
      <c r="F69" s="98"/>
      <c r="G69" s="98"/>
      <c r="H69" s="98"/>
      <c r="I69" s="98"/>
      <c r="J69" s="98"/>
      <c r="K69" s="98"/>
      <c r="L69" s="98"/>
      <c r="M69" s="98"/>
      <c r="N69" s="98"/>
      <c r="O69" s="98">
        <f t="shared" si="4"/>
        <v>8.7214696353633409E-3</v>
      </c>
      <c r="P69" s="238">
        <f>0.0000296/3*2</f>
        <v>1.9733333333333333E-5</v>
      </c>
      <c r="Q69" s="98"/>
      <c r="R69" s="98"/>
      <c r="S69" s="98">
        <f t="shared" si="1"/>
        <v>8.7214696353633409E-3</v>
      </c>
      <c r="T69" s="98">
        <f t="shared" si="2"/>
        <v>8.7214696353633409E-3</v>
      </c>
      <c r="U69" s="98"/>
      <c r="V69" s="98">
        <f t="shared" si="3"/>
        <v>8.7214696353633409E-3</v>
      </c>
    </row>
    <row r="70" spans="2:22" x14ac:dyDescent="0.25">
      <c r="B70" s="22" t="s">
        <v>194</v>
      </c>
      <c r="C70" s="23"/>
      <c r="D70" s="217">
        <f>'Booster Drwg'!M47</f>
        <v>2.3178288985366783E-3</v>
      </c>
      <c r="E70" s="217">
        <f t="shared" si="0"/>
        <v>2.3178288985366783E-3</v>
      </c>
      <c r="F70" s="98">
        <v>1</v>
      </c>
      <c r="G70" s="98"/>
      <c r="H70" s="98"/>
      <c r="I70" s="98"/>
      <c r="J70" s="98"/>
      <c r="K70" s="98"/>
      <c r="L70" s="98">
        <v>1</v>
      </c>
      <c r="M70" s="98">
        <v>1</v>
      </c>
      <c r="N70" s="98"/>
      <c r="O70" s="98">
        <f t="shared" si="4"/>
        <v>2.3378643964139458E-3</v>
      </c>
      <c r="P70" s="98"/>
      <c r="Q70" s="98"/>
      <c r="R70" s="98"/>
      <c r="S70" s="98">
        <f t="shared" si="1"/>
        <v>2.3378643964139458E-3</v>
      </c>
      <c r="T70" s="98">
        <f t="shared" si="2"/>
        <v>2.3378643964139458E-3</v>
      </c>
      <c r="U70" s="98"/>
      <c r="V70" s="98">
        <f t="shared" si="3"/>
        <v>2.3378643964139458E-3</v>
      </c>
    </row>
    <row r="71" spans="2:22" x14ac:dyDescent="0.25">
      <c r="B71" s="8" t="s">
        <v>11</v>
      </c>
      <c r="C71" s="9"/>
      <c r="D71" s="217">
        <f>'Booster Drwg'!M48</f>
        <v>1.1999999999999999E-3</v>
      </c>
      <c r="E71" s="217">
        <f t="shared" si="0"/>
        <v>1.1999999999999999E-3</v>
      </c>
      <c r="F71" s="98"/>
      <c r="G71" s="98"/>
      <c r="H71" s="98"/>
      <c r="I71" s="98"/>
      <c r="J71" s="98"/>
      <c r="K71" s="98"/>
      <c r="L71" s="98"/>
      <c r="M71" s="98"/>
      <c r="N71" s="98"/>
      <c r="O71" s="98">
        <f t="shared" si="4"/>
        <v>1.2103728957162884E-3</v>
      </c>
      <c r="P71" s="98"/>
      <c r="Q71" s="98"/>
      <c r="R71" s="98"/>
      <c r="S71" s="98">
        <f t="shared" si="1"/>
        <v>1.2103728957162884E-3</v>
      </c>
      <c r="T71" s="98">
        <f t="shared" si="2"/>
        <v>1.2103728957162884E-3</v>
      </c>
      <c r="U71" s="98"/>
      <c r="V71" s="98">
        <f t="shared" si="3"/>
        <v>1.2103728957162884E-3</v>
      </c>
    </row>
    <row r="72" spans="2:22" x14ac:dyDescent="0.25">
      <c r="B72" s="51" t="s">
        <v>2</v>
      </c>
      <c r="C72" s="52"/>
      <c r="D72" s="217">
        <f>'Booster Drwg'!M49</f>
        <v>0</v>
      </c>
      <c r="E72" s="217">
        <f t="shared" si="0"/>
        <v>0</v>
      </c>
      <c r="F72" s="98"/>
      <c r="G72" s="98">
        <v>1</v>
      </c>
      <c r="H72" s="98"/>
      <c r="I72" s="98"/>
      <c r="J72" s="98">
        <v>1</v>
      </c>
      <c r="K72" s="98"/>
      <c r="L72" s="98"/>
      <c r="M72" s="98"/>
      <c r="N72" s="98">
        <v>0.86439600000000005</v>
      </c>
      <c r="O72" s="98">
        <f>E72*O59/D59</f>
        <v>0</v>
      </c>
      <c r="P72" s="98">
        <v>6.6048999999999997E-2</v>
      </c>
      <c r="Q72" s="98"/>
      <c r="R72" s="98">
        <v>1</v>
      </c>
      <c r="S72" s="98">
        <f>S59/O59*O72</f>
        <v>0</v>
      </c>
      <c r="T72" s="98">
        <v>0</v>
      </c>
      <c r="U72" s="98">
        <f>Z66</f>
        <v>0</v>
      </c>
      <c r="V72" s="98">
        <f t="shared" si="3"/>
        <v>0</v>
      </c>
    </row>
    <row r="73" spans="2:22" x14ac:dyDescent="0.25">
      <c r="B73" s="51" t="s">
        <v>266</v>
      </c>
      <c r="C73" s="52"/>
      <c r="D73" s="217">
        <f>'Booster Drwg'!M50</f>
        <v>0</v>
      </c>
      <c r="E73" s="217">
        <f t="shared" si="0"/>
        <v>0</v>
      </c>
      <c r="F73" s="98"/>
      <c r="G73" s="98"/>
      <c r="H73" s="98"/>
      <c r="I73" s="98"/>
      <c r="J73" s="98"/>
      <c r="K73" s="98"/>
      <c r="L73" s="98"/>
      <c r="M73" s="98"/>
      <c r="N73" s="98">
        <v>0.13481699999999999</v>
      </c>
      <c r="O73" s="219">
        <v>4.2300000000000002E-6</v>
      </c>
      <c r="P73" s="98"/>
      <c r="Q73" s="98"/>
      <c r="R73" s="98"/>
      <c r="S73" s="219"/>
      <c r="T73" s="98"/>
      <c r="U73" s="98"/>
      <c r="V73" s="98">
        <f t="shared" si="3"/>
        <v>0</v>
      </c>
    </row>
    <row r="74" spans="2:22" x14ac:dyDescent="0.25">
      <c r="B74" s="51" t="s">
        <v>293</v>
      </c>
      <c r="C74" s="52"/>
      <c r="D74" s="217">
        <f>'Booster Drwg'!M51</f>
        <v>0</v>
      </c>
      <c r="E74" s="217">
        <f t="shared" si="0"/>
        <v>0</v>
      </c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219">
        <v>4.2300000000000002E-6</v>
      </c>
      <c r="T74" s="98">
        <v>0</v>
      </c>
      <c r="U74" s="98"/>
      <c r="V74" s="98">
        <f t="shared" si="3"/>
        <v>0</v>
      </c>
    </row>
    <row r="75" spans="2:22" x14ac:dyDescent="0.25">
      <c r="B75" s="51" t="s">
        <v>294</v>
      </c>
      <c r="C75" s="52"/>
      <c r="D75" s="217">
        <f>'Booster Drwg'!M52</f>
        <v>1.0000287416592619</v>
      </c>
      <c r="E75" s="217">
        <f t="shared" si="0"/>
        <v>1.0000287416592619</v>
      </c>
      <c r="F75" s="217">
        <f t="shared" ref="F75" si="5">SUM(F60:F74)</f>
        <v>1</v>
      </c>
      <c r="G75" s="217">
        <f t="shared" ref="G75:J75" si="6">SUM(G60:G74)</f>
        <v>1</v>
      </c>
      <c r="H75" s="217">
        <f t="shared" si="6"/>
        <v>0</v>
      </c>
      <c r="I75" s="217">
        <f t="shared" si="6"/>
        <v>0</v>
      </c>
      <c r="J75" s="217">
        <f t="shared" si="6"/>
        <v>1</v>
      </c>
      <c r="K75" s="217">
        <f t="shared" ref="K75:V75" si="7">SUM(K60:K74)</f>
        <v>0</v>
      </c>
      <c r="L75" s="217">
        <f t="shared" si="7"/>
        <v>1</v>
      </c>
      <c r="M75" s="98">
        <f t="shared" si="7"/>
        <v>1</v>
      </c>
      <c r="N75" s="217">
        <f t="shared" si="7"/>
        <v>0.99999899999999997</v>
      </c>
      <c r="O75" s="217">
        <f t="shared" si="7"/>
        <v>0.99984240300188809</v>
      </c>
      <c r="P75" s="217">
        <f t="shared" si="7"/>
        <v>0.99935810440000017</v>
      </c>
      <c r="Q75" s="217">
        <f t="shared" si="7"/>
        <v>0</v>
      </c>
      <c r="R75" s="217">
        <f t="shared" si="7"/>
        <v>1</v>
      </c>
      <c r="S75" s="217">
        <f t="shared" si="7"/>
        <v>0.99984240300188809</v>
      </c>
      <c r="T75" s="217">
        <f t="shared" si="7"/>
        <v>0.99983817300188804</v>
      </c>
      <c r="U75" s="217">
        <f t="shared" si="7"/>
        <v>1</v>
      </c>
      <c r="V75" s="217">
        <f t="shared" si="7"/>
        <v>0.99983817300188804</v>
      </c>
    </row>
    <row r="81" spans="2:13" x14ac:dyDescent="0.25">
      <c r="B81" s="220">
        <f>B82*B83*B84</f>
        <v>206.40824594201638</v>
      </c>
      <c r="C81" s="221"/>
      <c r="D81" s="221" t="s">
        <v>386</v>
      </c>
      <c r="E81" s="69"/>
      <c r="F81" s="69"/>
      <c r="G81" s="15"/>
      <c r="I81" s="14">
        <v>3</v>
      </c>
      <c r="J81" s="69" t="s">
        <v>409</v>
      </c>
      <c r="K81" s="69"/>
      <c r="L81" s="15"/>
    </row>
    <row r="82" spans="2:13" x14ac:dyDescent="0.25">
      <c r="B82" s="144">
        <f>E52</f>
        <v>192.67980951413438</v>
      </c>
      <c r="D82" s="4" t="s">
        <v>387</v>
      </c>
      <c r="G82" s="23"/>
      <c r="I82" s="223">
        <v>75</v>
      </c>
      <c r="J82" s="4" t="s">
        <v>621</v>
      </c>
      <c r="L82" s="23"/>
    </row>
    <row r="83" spans="2:13" x14ac:dyDescent="0.25">
      <c r="B83" s="222">
        <f>(D62+D61-O61-O62)*100</f>
        <v>0.85699999999999976</v>
      </c>
      <c r="D83" s="4" t="s">
        <v>388</v>
      </c>
      <c r="G83" s="23"/>
      <c r="I83" s="223">
        <v>7</v>
      </c>
      <c r="J83" s="4" t="s">
        <v>620</v>
      </c>
      <c r="L83" s="23"/>
    </row>
    <row r="84" spans="2:13" x14ac:dyDescent="0.25">
      <c r="B84" s="51">
        <v>1.25</v>
      </c>
      <c r="C84" s="60"/>
      <c r="D84" s="60" t="s">
        <v>389</v>
      </c>
      <c r="E84" s="60"/>
      <c r="F84" s="60"/>
      <c r="G84" s="52"/>
      <c r="I84" s="223">
        <f>I82-I83</f>
        <v>68</v>
      </c>
      <c r="J84" s="4" t="s">
        <v>410</v>
      </c>
      <c r="L84" s="23"/>
    </row>
    <row r="85" spans="2:13" x14ac:dyDescent="0.25">
      <c r="I85" s="223">
        <f>I84*B82</f>
        <v>13102.227046961138</v>
      </c>
      <c r="J85" s="4" t="s">
        <v>406</v>
      </c>
      <c r="L85" s="23"/>
    </row>
    <row r="86" spans="2:13" x14ac:dyDescent="0.25">
      <c r="B86" s="224">
        <f>B81</f>
        <v>206.40824594201638</v>
      </c>
      <c r="C86" s="69"/>
      <c r="D86" s="69" t="s">
        <v>399</v>
      </c>
      <c r="E86" s="69"/>
      <c r="F86" s="69"/>
      <c r="G86" s="15"/>
      <c r="I86" s="223">
        <f>I85/24/60</f>
        <v>9.0987687826119004</v>
      </c>
      <c r="J86" s="4" t="s">
        <v>407</v>
      </c>
      <c r="L86" s="23"/>
    </row>
    <row r="87" spans="2:13" x14ac:dyDescent="0.25">
      <c r="B87" s="22">
        <f>B86*0.9*60</f>
        <v>11146.045280868884</v>
      </c>
      <c r="D87" s="4" t="s">
        <v>400</v>
      </c>
      <c r="G87" s="23"/>
      <c r="I87" s="226">
        <f>I86*I81</f>
        <v>27.296306347835703</v>
      </c>
      <c r="J87" s="225" t="s">
        <v>408</v>
      </c>
      <c r="K87" s="225"/>
      <c r="L87" s="31"/>
    </row>
    <row r="88" spans="2:13" x14ac:dyDescent="0.25">
      <c r="B88" s="30">
        <f>B87*1200/1000000</f>
        <v>13.375254337042662</v>
      </c>
      <c r="C88" s="225"/>
      <c r="D88" s="225" t="s">
        <v>401</v>
      </c>
      <c r="E88" s="225"/>
      <c r="F88" s="60"/>
      <c r="G88" s="52"/>
    </row>
    <row r="89" spans="2:13" x14ac:dyDescent="0.25">
      <c r="I89" s="14">
        <v>2000</v>
      </c>
      <c r="J89" s="69" t="s">
        <v>411</v>
      </c>
      <c r="K89" s="69"/>
      <c r="L89" s="15"/>
    </row>
    <row r="90" spans="2:13" x14ac:dyDescent="0.25">
      <c r="B90" s="282">
        <v>1.75E-3</v>
      </c>
      <c r="C90" s="69"/>
      <c r="D90" s="69" t="s">
        <v>612</v>
      </c>
      <c r="E90" s="69"/>
      <c r="F90" s="69"/>
      <c r="G90" s="15"/>
      <c r="I90" s="227">
        <f>I89*I87*60/1000000</f>
        <v>3.2755567617402845</v>
      </c>
      <c r="J90" s="60" t="s">
        <v>412</v>
      </c>
      <c r="K90" s="60"/>
      <c r="L90" s="52"/>
    </row>
    <row r="91" spans="2:13" x14ac:dyDescent="0.25">
      <c r="B91" s="22">
        <f>B81*B90</f>
        <v>0.36121443039852869</v>
      </c>
      <c r="D91" s="4" t="s">
        <v>613</v>
      </c>
      <c r="G91" s="23"/>
    </row>
    <row r="92" spans="2:13" x14ac:dyDescent="0.25">
      <c r="B92" s="30">
        <f>B91*60*24*365</f>
        <v>189854.30461746667</v>
      </c>
      <c r="C92" s="225"/>
      <c r="D92" s="225" t="s">
        <v>614</v>
      </c>
      <c r="E92" s="225"/>
      <c r="F92" s="225"/>
      <c r="G92" s="52"/>
      <c r="I92" s="283">
        <f>20/35</f>
        <v>0.5714285714285714</v>
      </c>
      <c r="J92" s="69" t="s">
        <v>615</v>
      </c>
      <c r="K92" s="69"/>
      <c r="L92" s="69"/>
      <c r="M92" s="15"/>
    </row>
    <row r="93" spans="2:13" x14ac:dyDescent="0.25">
      <c r="I93" s="22">
        <f>I92*D52/24/60</f>
        <v>7.6460241870688242E-2</v>
      </c>
      <c r="J93" s="4" t="s">
        <v>616</v>
      </c>
      <c r="M93" s="23"/>
    </row>
    <row r="94" spans="2:13" x14ac:dyDescent="0.25">
      <c r="B94" s="205" t="s">
        <v>414</v>
      </c>
      <c r="C94" s="69"/>
      <c r="D94" s="69"/>
      <c r="E94" s="69"/>
      <c r="F94" s="69"/>
      <c r="G94" s="15"/>
      <c r="I94" s="227">
        <f>I93*60*24*365</f>
        <v>40187.503127233736</v>
      </c>
      <c r="J94" s="225" t="s">
        <v>617</v>
      </c>
      <c r="K94" s="225"/>
      <c r="L94" s="225"/>
      <c r="M94" s="52"/>
    </row>
    <row r="95" spans="2:13" x14ac:dyDescent="0.25">
      <c r="B95" s="22">
        <f>4*B96/(3.14*B97)</f>
        <v>189.80319888521714</v>
      </c>
      <c r="D95" s="4" t="s">
        <v>415</v>
      </c>
      <c r="G95" s="23"/>
    </row>
    <row r="96" spans="2:13" x14ac:dyDescent="0.25">
      <c r="B96" s="22">
        <f>S52*1000000/24/60*(14.7/(S57+14.7))</f>
        <v>4618.8608448717596</v>
      </c>
      <c r="D96" s="4" t="s">
        <v>416</v>
      </c>
      <c r="G96" s="23"/>
    </row>
    <row r="97" spans="2:7" x14ac:dyDescent="0.25">
      <c r="B97" s="22">
        <v>31</v>
      </c>
      <c r="D97" s="4" t="s">
        <v>417</v>
      </c>
      <c r="G97" s="23"/>
    </row>
    <row r="98" spans="2:7" x14ac:dyDescent="0.25">
      <c r="B98" s="22"/>
      <c r="D98" s="4" t="s">
        <v>419</v>
      </c>
      <c r="G98" s="23"/>
    </row>
    <row r="99" spans="2:7" x14ac:dyDescent="0.25">
      <c r="B99" s="22"/>
      <c r="D99" s="4" t="s">
        <v>418</v>
      </c>
      <c r="G99" s="23"/>
    </row>
    <row r="100" spans="2:7" x14ac:dyDescent="0.25">
      <c r="B100" s="22"/>
      <c r="D100" s="4" t="s">
        <v>420</v>
      </c>
      <c r="G100" s="23"/>
    </row>
    <row r="101" spans="2:7" x14ac:dyDescent="0.25">
      <c r="B101" s="22"/>
      <c r="D101" s="4" t="s">
        <v>421</v>
      </c>
      <c r="G101" s="23"/>
    </row>
    <row r="102" spans="2:7" x14ac:dyDescent="0.25">
      <c r="B102" s="51"/>
      <c r="C102" s="60"/>
      <c r="D102" s="60" t="s">
        <v>422</v>
      </c>
      <c r="E102" s="60"/>
      <c r="F102" s="60"/>
      <c r="G102" s="5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C1:T58"/>
  <sheetViews>
    <sheetView workbookViewId="0">
      <selection activeCell="L41" sqref="L41"/>
    </sheetView>
  </sheetViews>
  <sheetFormatPr defaultColWidth="9.140625" defaultRowHeight="15" x14ac:dyDescent="0.25"/>
  <cols>
    <col min="1" max="1" width="1.42578125" style="1" customWidth="1"/>
    <col min="2" max="2" width="5.85546875" style="1" customWidth="1"/>
    <col min="3" max="6" width="9.140625" style="1"/>
    <col min="7" max="7" width="10.42578125" style="1" customWidth="1"/>
    <col min="8" max="8" width="9.140625" style="1"/>
    <col min="9" max="9" width="10.140625" style="1" customWidth="1"/>
    <col min="10" max="10" width="9.140625" style="1"/>
    <col min="11" max="11" width="9.85546875" style="1" customWidth="1"/>
    <col min="12" max="12" width="9.140625" style="1"/>
    <col min="13" max="13" width="10.28515625" style="1" customWidth="1"/>
    <col min="14" max="14" width="9.140625" style="1"/>
    <col min="15" max="15" width="10.42578125" style="1" customWidth="1"/>
    <col min="16" max="17" width="9.140625" style="1"/>
    <col min="18" max="18" width="8.42578125" style="1" customWidth="1"/>
    <col min="19" max="19" width="7" style="1" customWidth="1"/>
    <col min="20" max="16384" width="9.140625" style="1"/>
  </cols>
  <sheetData>
    <row r="1" spans="3:20" x14ac:dyDescent="0.25">
      <c r="C1" s="284" t="s">
        <v>217</v>
      </c>
      <c r="L1" s="3">
        <f>F39</f>
        <v>153.31556488333982</v>
      </c>
      <c r="M1" s="1" t="s">
        <v>310</v>
      </c>
    </row>
    <row r="2" spans="3:20" x14ac:dyDescent="0.25">
      <c r="L2" s="274">
        <v>1000</v>
      </c>
      <c r="M2" s="1" t="s">
        <v>123</v>
      </c>
      <c r="P2" s="1" t="s">
        <v>319</v>
      </c>
      <c r="Q2" s="3">
        <f>L1-Q5</f>
        <v>148.73025948450265</v>
      </c>
      <c r="R2" s="1" t="s">
        <v>310</v>
      </c>
    </row>
    <row r="3" spans="3:20" x14ac:dyDescent="0.25">
      <c r="I3" s="1" t="s">
        <v>31</v>
      </c>
      <c r="L3" s="274">
        <v>120</v>
      </c>
      <c r="M3" s="1" t="s">
        <v>168</v>
      </c>
    </row>
    <row r="4" spans="3:20" x14ac:dyDescent="0.25">
      <c r="F4" s="2" t="s">
        <v>30</v>
      </c>
      <c r="G4" s="2" t="s">
        <v>29</v>
      </c>
    </row>
    <row r="5" spans="3:20" x14ac:dyDescent="0.25">
      <c r="P5" s="1" t="s">
        <v>296</v>
      </c>
      <c r="Q5" s="3">
        <f>'Design Basis'!B43</f>
        <v>4.5853053988371517</v>
      </c>
      <c r="R5" s="1" t="s">
        <v>17</v>
      </c>
    </row>
    <row r="6" spans="3:20" x14ac:dyDescent="0.25">
      <c r="S6" s="2" t="s">
        <v>312</v>
      </c>
    </row>
    <row r="7" spans="3:20" x14ac:dyDescent="0.25">
      <c r="S7" s="125">
        <v>300</v>
      </c>
      <c r="T7" s="1" t="s">
        <v>123</v>
      </c>
    </row>
    <row r="9" spans="3:20" x14ac:dyDescent="0.25">
      <c r="P9" s="2" t="s">
        <v>27</v>
      </c>
    </row>
    <row r="10" spans="3:20" x14ac:dyDescent="0.25">
      <c r="I10" s="2" t="s">
        <v>28</v>
      </c>
    </row>
    <row r="13" spans="3:20" x14ac:dyDescent="0.25">
      <c r="C13" s="124">
        <f>E39</f>
        <v>191.02854354659826</v>
      </c>
      <c r="D13" s="1" t="s">
        <v>17</v>
      </c>
    </row>
    <row r="14" spans="3:20" x14ac:dyDescent="0.25">
      <c r="C14" s="124">
        <f>E41</f>
        <v>850</v>
      </c>
      <c r="D14" s="1" t="s">
        <v>123</v>
      </c>
      <c r="H14" s="2" t="s">
        <v>22</v>
      </c>
      <c r="O14" s="2" t="s">
        <v>26</v>
      </c>
    </row>
    <row r="15" spans="3:20" x14ac:dyDescent="0.25">
      <c r="C15" s="124">
        <f>E42</f>
        <v>120</v>
      </c>
      <c r="D15" s="1" t="s">
        <v>168</v>
      </c>
    </row>
    <row r="16" spans="3:20" x14ac:dyDescent="0.25">
      <c r="C16" s="3">
        <f>'Cryo Prop Est'!U20</f>
        <v>5.7407925823192363</v>
      </c>
      <c r="D16" s="1" t="s">
        <v>315</v>
      </c>
      <c r="I16" s="2" t="s">
        <v>23</v>
      </c>
      <c r="J16" s="2" t="s">
        <v>19</v>
      </c>
    </row>
    <row r="17" spans="3:17" x14ac:dyDescent="0.25">
      <c r="K17" s="2" t="s">
        <v>24</v>
      </c>
    </row>
    <row r="18" spans="3:17" x14ac:dyDescent="0.25">
      <c r="I18" s="1" t="s">
        <v>254</v>
      </c>
      <c r="N18" s="2" t="s">
        <v>25</v>
      </c>
      <c r="Q18" s="2" t="s">
        <v>38</v>
      </c>
    </row>
    <row r="20" spans="3:17" x14ac:dyDescent="0.25">
      <c r="I20" s="1" t="s">
        <v>19</v>
      </c>
      <c r="J20" s="1" t="s">
        <v>21</v>
      </c>
    </row>
    <row r="21" spans="3:17" x14ac:dyDescent="0.25">
      <c r="Q21" s="1" t="s">
        <v>40</v>
      </c>
    </row>
    <row r="22" spans="3:17" x14ac:dyDescent="0.25">
      <c r="C22" s="1" t="s">
        <v>19</v>
      </c>
      <c r="P22" s="2" t="s">
        <v>39</v>
      </c>
      <c r="Q22" s="1" t="s">
        <v>19</v>
      </c>
    </row>
    <row r="23" spans="3:17" x14ac:dyDescent="0.25">
      <c r="C23" s="124">
        <f>G40*60*24/42</f>
        <v>24679.185851537357</v>
      </c>
      <c r="D23" s="1" t="s">
        <v>1</v>
      </c>
      <c r="Q23" s="1" t="s">
        <v>19</v>
      </c>
    </row>
    <row r="24" spans="3:17" x14ac:dyDescent="0.25">
      <c r="C24" s="274">
        <v>99</v>
      </c>
      <c r="D24" s="1" t="s">
        <v>168</v>
      </c>
      <c r="Q24" s="1" t="s">
        <v>37</v>
      </c>
    </row>
    <row r="25" spans="3:17" x14ac:dyDescent="0.25">
      <c r="C25" s="274">
        <v>1000</v>
      </c>
      <c r="D25" s="1" t="s">
        <v>123</v>
      </c>
      <c r="G25" s="1" t="s">
        <v>20</v>
      </c>
    </row>
    <row r="28" spans="3:17" x14ac:dyDescent="0.25">
      <c r="I28" s="1" t="s">
        <v>32</v>
      </c>
      <c r="P28" s="1" t="s">
        <v>34</v>
      </c>
    </row>
    <row r="29" spans="3:17" x14ac:dyDescent="0.25">
      <c r="I29" s="1" t="s">
        <v>33</v>
      </c>
    </row>
    <row r="32" spans="3:17" x14ac:dyDescent="0.25">
      <c r="D32" s="1" t="s">
        <v>299</v>
      </c>
      <c r="F32" s="1" t="s">
        <v>300</v>
      </c>
      <c r="I32" s="1" t="s">
        <v>35</v>
      </c>
      <c r="J32" s="1" t="s">
        <v>301</v>
      </c>
      <c r="L32" s="1" t="s">
        <v>302</v>
      </c>
      <c r="O32" s="1" t="s">
        <v>36</v>
      </c>
      <c r="P32" s="1" t="s">
        <v>303</v>
      </c>
    </row>
    <row r="33" spans="3:17" x14ac:dyDescent="0.25">
      <c r="D33" s="3">
        <f>4*E39/200</f>
        <v>3.8205708709319652</v>
      </c>
      <c r="E33" s="1" t="s">
        <v>44</v>
      </c>
      <c r="F33" s="3">
        <f>26.3*E39/200</f>
        <v>25.12025347637767</v>
      </c>
      <c r="G33" s="1" t="s">
        <v>44</v>
      </c>
      <c r="H33" s="3">
        <f>6*E39/200</f>
        <v>5.7308563063979481</v>
      </c>
      <c r="I33" s="1" t="s">
        <v>44</v>
      </c>
      <c r="J33" s="3">
        <f>20.4*E39/200</f>
        <v>19.48491144175302</v>
      </c>
      <c r="K33" s="1" t="s">
        <v>44</v>
      </c>
      <c r="L33" s="3">
        <f>15.2*E39/200</f>
        <v>14.518169309541468</v>
      </c>
      <c r="M33" s="1" t="s">
        <v>44</v>
      </c>
      <c r="N33" s="3">
        <f>3.1*E39/200</f>
        <v>2.9609424249722731</v>
      </c>
      <c r="O33" s="1" t="s">
        <v>44</v>
      </c>
      <c r="P33" s="3">
        <f>12.7*E39/200</f>
        <v>12.130312515208988</v>
      </c>
      <c r="Q33" s="1" t="s">
        <v>44</v>
      </c>
    </row>
    <row r="35" spans="3:17" x14ac:dyDescent="0.25">
      <c r="G35" s="1" t="s">
        <v>304</v>
      </c>
      <c r="I35" s="1" t="s">
        <v>305</v>
      </c>
      <c r="K35" s="1" t="s">
        <v>306</v>
      </c>
    </row>
    <row r="36" spans="3:17" x14ac:dyDescent="0.25">
      <c r="G36" s="124">
        <f>2400*E39/200</f>
        <v>2292.3425225591791</v>
      </c>
      <c r="H36" s="1" t="s">
        <v>41</v>
      </c>
      <c r="I36" s="124">
        <f>'Hp Est Tool'!Q40</f>
        <v>9965.5117174170882</v>
      </c>
      <c r="J36" s="1" t="s">
        <v>41</v>
      </c>
      <c r="K36" s="124">
        <f>375*E39/200</f>
        <v>358.1785191498717</v>
      </c>
      <c r="L36" s="1" t="s">
        <v>41</v>
      </c>
    </row>
    <row r="38" spans="3:17" x14ac:dyDescent="0.25">
      <c r="C38" s="108" t="s">
        <v>278</v>
      </c>
      <c r="D38" s="109"/>
      <c r="E38" s="115">
        <v>1</v>
      </c>
      <c r="F38" s="115">
        <v>2</v>
      </c>
      <c r="G38" s="115">
        <v>3</v>
      </c>
    </row>
    <row r="39" spans="3:17" x14ac:dyDescent="0.25">
      <c r="C39" s="113" t="s">
        <v>17</v>
      </c>
      <c r="D39" s="114"/>
      <c r="E39" s="123">
        <f>'Plant Inlet Drwg'!V52</f>
        <v>191.02854354659826</v>
      </c>
      <c r="F39" s="123">
        <f>E39*'Cryo Prop Est'!N24</f>
        <v>153.31556488333982</v>
      </c>
      <c r="G39" s="123"/>
    </row>
    <row r="40" spans="3:17" x14ac:dyDescent="0.25">
      <c r="C40" s="113" t="s">
        <v>295</v>
      </c>
      <c r="D40" s="114"/>
      <c r="E40" s="123"/>
      <c r="F40" s="116"/>
      <c r="G40" s="158">
        <f>('Cryo Prop Est'!U20-'Cryo Prop Est'!U63)*'Cryo Plt Drwg'!E39/24/60*1000</f>
        <v>719.80958733650618</v>
      </c>
    </row>
    <row r="41" spans="3:17" x14ac:dyDescent="0.25">
      <c r="C41" s="110" t="s">
        <v>280</v>
      </c>
      <c r="D41" s="111"/>
      <c r="E41" s="123">
        <f>'Plant Inlet Drwg'!V57</f>
        <v>850</v>
      </c>
      <c r="F41" s="116">
        <f>L2</f>
        <v>1000</v>
      </c>
      <c r="G41" s="116">
        <f>C25</f>
        <v>1000</v>
      </c>
    </row>
    <row r="42" spans="3:17" x14ac:dyDescent="0.25">
      <c r="C42" s="113" t="s">
        <v>279</v>
      </c>
      <c r="D42" s="114"/>
      <c r="E42" s="123">
        <f>'Plant Inlet Drwg'!V58</f>
        <v>120</v>
      </c>
      <c r="F42" s="116">
        <f>L3</f>
        <v>120</v>
      </c>
      <c r="G42" s="116">
        <f>C24</f>
        <v>99</v>
      </c>
    </row>
    <row r="43" spans="3:17" x14ac:dyDescent="0.25">
      <c r="C43" s="22" t="s">
        <v>281</v>
      </c>
      <c r="D43" s="111"/>
      <c r="E43" s="118">
        <f>'Plant Inlet Drwg'!V60</f>
        <v>5.0899999999999999E-3</v>
      </c>
      <c r="F43" s="118">
        <f>'Cryo Prop Est'!C47</f>
        <v>6.3420520114317825E-3</v>
      </c>
      <c r="G43" s="118">
        <f>'Cryo Prop Est'!C68</f>
        <v>0</v>
      </c>
    </row>
    <row r="44" spans="3:17" x14ac:dyDescent="0.25">
      <c r="C44" s="8" t="s">
        <v>4</v>
      </c>
      <c r="D44" s="114"/>
      <c r="E44" s="118">
        <f>'Plant Inlet Drwg'!V61</f>
        <v>7.6499999999999997E-3</v>
      </c>
      <c r="F44" s="118">
        <f>'Cryo Prop Est'!C48</f>
        <v>5.7190606547096023E-3</v>
      </c>
      <c r="G44" s="118">
        <f>'Cryo Prop Est'!C69</f>
        <v>1.5499898548774161E-2</v>
      </c>
    </row>
    <row r="45" spans="3:17" x14ac:dyDescent="0.25">
      <c r="C45" s="22" t="s">
        <v>3</v>
      </c>
      <c r="D45" s="111"/>
      <c r="E45" s="118">
        <f>'Plant Inlet Drwg'!V62</f>
        <v>0</v>
      </c>
      <c r="F45" s="119">
        <f>'Cryo Prop Est'!C49</f>
        <v>0</v>
      </c>
      <c r="G45" s="119">
        <f>'Cryo Prop Est'!C70</f>
        <v>0</v>
      </c>
    </row>
    <row r="46" spans="3:17" x14ac:dyDescent="0.25">
      <c r="C46" s="8" t="s">
        <v>6</v>
      </c>
      <c r="D46" s="114"/>
      <c r="E46" s="118">
        <f>'Plant Inlet Drwg'!V63</f>
        <v>0.78742886844099835</v>
      </c>
      <c r="F46" s="118">
        <f>'Cryo Prop Est'!C50</f>
        <v>0.97621714435381279</v>
      </c>
      <c r="G46" s="118">
        <f>'Cryo Prop Est'!C71</f>
        <v>1.9942920874528612E-2</v>
      </c>
    </row>
    <row r="47" spans="3:17" x14ac:dyDescent="0.25">
      <c r="C47" s="22" t="s">
        <v>7</v>
      </c>
      <c r="D47" s="111"/>
      <c r="E47" s="118">
        <f>'Plant Inlet Drwg'!V64</f>
        <v>9.9754899488617446E-2</v>
      </c>
      <c r="F47" s="118">
        <f>'Cryo Prop Est'!C51</f>
        <v>9.9434304275357408E-3</v>
      </c>
      <c r="G47" s="118">
        <f>'Cryo Prop Est'!C72</f>
        <v>0.46486782878150168</v>
      </c>
    </row>
    <row r="48" spans="3:17" x14ac:dyDescent="0.25">
      <c r="C48" s="8" t="s">
        <v>8</v>
      </c>
      <c r="D48" s="114"/>
      <c r="E48" s="118">
        <f>'Plant Inlet Drwg'!V65</f>
        <v>5.7218611010172532E-2</v>
      </c>
      <c r="F48" s="118">
        <f>'Cryo Prop Est'!C52</f>
        <v>1.4258680041194394E-3</v>
      </c>
      <c r="G48" s="118">
        <f>'Cryo Prop Est'!C73</f>
        <v>0.28403431779224103</v>
      </c>
    </row>
    <row r="49" spans="3:7" x14ac:dyDescent="0.25">
      <c r="C49" s="22" t="s">
        <v>9</v>
      </c>
      <c r="D49" s="111"/>
      <c r="E49" s="118">
        <f>'Plant Inlet Drwg'!V66</f>
        <v>9.8959339645392167E-3</v>
      </c>
      <c r="F49" s="118">
        <f>'Cryo Prop Est'!C53</f>
        <v>6.1650813266012945E-5</v>
      </c>
      <c r="G49" s="118">
        <f>'Cryo Prop Est'!C74</f>
        <v>4.9875504128512327E-2</v>
      </c>
    </row>
    <row r="50" spans="3:7" x14ac:dyDescent="0.25">
      <c r="C50" s="8" t="s">
        <v>10</v>
      </c>
      <c r="D50" s="114"/>
      <c r="E50" s="118">
        <f>'Plant Inlet Drwg'!V67</f>
        <v>1.4311609935886023E-2</v>
      </c>
      <c r="F50" s="118">
        <f>'Cryo Prop Est'!C54</f>
        <v>8.9160092908362434E-5</v>
      </c>
      <c r="G50" s="118">
        <f>'Cryo Prop Est'!C75</f>
        <v>7.2130509661922332E-2</v>
      </c>
    </row>
    <row r="51" spans="3:7" x14ac:dyDescent="0.25">
      <c r="C51" s="22" t="s">
        <v>237</v>
      </c>
      <c r="D51" s="111"/>
      <c r="E51" s="118">
        <f>'Plant Inlet Drwg'!V68</f>
        <v>6.2185432341808951E-3</v>
      </c>
      <c r="F51" s="118">
        <f>'Cryo Prop Est'!C55</f>
        <v>0</v>
      </c>
      <c r="G51" s="118">
        <f>'Cryo Prop Est'!C76</f>
        <v>3.1498950735611056E-2</v>
      </c>
    </row>
    <row r="52" spans="3:7" x14ac:dyDescent="0.25">
      <c r="C52" s="8" t="s">
        <v>238</v>
      </c>
      <c r="D52" s="114"/>
      <c r="E52" s="118">
        <f>'Plant Inlet Drwg'!V69</f>
        <v>8.7214696353633409E-3</v>
      </c>
      <c r="F52" s="118">
        <f>'Cryo Prop Est'!C56</f>
        <v>0</v>
      </c>
      <c r="G52" s="118">
        <f>'Cryo Prop Est'!C77</f>
        <v>4.4177089720374561E-2</v>
      </c>
    </row>
    <row r="53" spans="3:7" x14ac:dyDescent="0.25">
      <c r="C53" s="22" t="s">
        <v>194</v>
      </c>
      <c r="D53" s="111"/>
      <c r="E53" s="118">
        <f>'Plant Inlet Drwg'!V70</f>
        <v>2.3378643964139458E-3</v>
      </c>
      <c r="F53" s="118">
        <f>'Cryo Prop Est'!C57</f>
        <v>0</v>
      </c>
      <c r="G53" s="118">
        <f>'Cryo Prop Est'!C78</f>
        <v>1.1842046067061207E-2</v>
      </c>
    </row>
    <row r="54" spans="3:7" x14ac:dyDescent="0.25">
      <c r="C54" s="8" t="s">
        <v>11</v>
      </c>
      <c r="D54" s="114"/>
      <c r="E54" s="118">
        <f>'Plant Inlet Drwg'!V71</f>
        <v>1.2103728957162884E-3</v>
      </c>
      <c r="F54" s="118">
        <f>'Cryo Prop Est'!C58+'Cryo Prop Est'!C59+'Cryo Prop Est'!C60+'Cryo Prop Est'!C61</f>
        <v>0</v>
      </c>
      <c r="G54" s="118">
        <f>'Cryo Prop Est'!C79+'Cryo Prop Est'!C80+'Cryo Prop Est'!C81+'Cryo Prop Est'!C82</f>
        <v>6.1309336894733585E-3</v>
      </c>
    </row>
    <row r="55" spans="3:7" hidden="1" x14ac:dyDescent="0.25">
      <c r="C55" s="51" t="s">
        <v>2</v>
      </c>
      <c r="D55" s="112"/>
      <c r="E55" s="118">
        <f>'Plant Inlet Drwg'!V72</f>
        <v>0</v>
      </c>
      <c r="F55" s="118">
        <f>'Cryo Prop Est'!C62</f>
        <v>0</v>
      </c>
      <c r="G55" s="118">
        <f>'Cryo Prop Est'!C83</f>
        <v>0</v>
      </c>
    </row>
    <row r="56" spans="3:7" hidden="1" x14ac:dyDescent="0.25">
      <c r="C56" s="51" t="s">
        <v>266</v>
      </c>
      <c r="D56" s="112"/>
      <c r="E56" s="118">
        <f>'Plant Inlet Drwg'!M73</f>
        <v>0</v>
      </c>
      <c r="F56" s="118"/>
      <c r="G56" s="118"/>
    </row>
    <row r="57" spans="3:7" hidden="1" x14ac:dyDescent="0.25">
      <c r="C57" s="51" t="s">
        <v>293</v>
      </c>
      <c r="D57" s="112"/>
      <c r="E57" s="118">
        <f>'Plant Inlet Drwg'!M74</f>
        <v>0</v>
      </c>
      <c r="F57" s="118"/>
      <c r="G57" s="118"/>
    </row>
    <row r="58" spans="3:7" x14ac:dyDescent="0.25">
      <c r="C58" s="51" t="s">
        <v>294</v>
      </c>
      <c r="D58" s="112"/>
      <c r="E58" s="118">
        <f>SUM(E43:E57)</f>
        <v>0.99983817300188804</v>
      </c>
      <c r="F58" s="118">
        <f>SUM(F43:F57)</f>
        <v>0.99979836635778385</v>
      </c>
      <c r="G58" s="118">
        <f>SUM(G43:G57)</f>
        <v>1.0000000000000002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26"/>
  <sheetViews>
    <sheetView workbookViewId="0">
      <selection activeCell="G30" sqref="G30"/>
    </sheetView>
  </sheetViews>
  <sheetFormatPr defaultColWidth="9.140625" defaultRowHeight="15" x14ac:dyDescent="0.25"/>
  <cols>
    <col min="1" max="3" width="9.140625" style="1"/>
    <col min="4" max="4" width="8.140625" style="1" customWidth="1"/>
    <col min="5" max="6" width="9.140625" style="1"/>
    <col min="7" max="7" width="13.7109375" style="1" customWidth="1"/>
    <col min="8" max="8" width="9.140625" style="1" customWidth="1"/>
    <col min="9" max="9" width="9.140625" style="1"/>
    <col min="10" max="10" width="4" style="1" customWidth="1"/>
    <col min="11" max="11" width="9.140625" style="1" customWidth="1"/>
    <col min="12" max="16384" width="9.140625" style="1"/>
  </cols>
  <sheetData>
    <row r="1" spans="1:16" x14ac:dyDescent="0.25">
      <c r="B1" s="284" t="s">
        <v>217</v>
      </c>
    </row>
    <row r="7" spans="1:16" x14ac:dyDescent="0.25">
      <c r="E7" s="2"/>
      <c r="M7" s="2"/>
    </row>
    <row r="8" spans="1:16" x14ac:dyDescent="0.25">
      <c r="A8" s="1" t="s">
        <v>19</v>
      </c>
      <c r="B8" s="1">
        <v>2</v>
      </c>
      <c r="C8" s="1" t="s">
        <v>123</v>
      </c>
      <c r="D8" s="1">
        <v>50</v>
      </c>
      <c r="E8" s="1" t="s">
        <v>123</v>
      </c>
      <c r="F8" s="1">
        <v>267</v>
      </c>
      <c r="G8" s="2" t="s">
        <v>123</v>
      </c>
      <c r="I8" s="1">
        <v>262</v>
      </c>
      <c r="J8" s="1" t="s">
        <v>123</v>
      </c>
    </row>
    <row r="9" spans="1:16" x14ac:dyDescent="0.25">
      <c r="B9" s="1">
        <v>-37</v>
      </c>
      <c r="C9" s="2" t="s">
        <v>168</v>
      </c>
      <c r="D9" s="1">
        <v>79</v>
      </c>
      <c r="E9" s="1" t="s">
        <v>168</v>
      </c>
      <c r="F9" s="2">
        <v>193</v>
      </c>
      <c r="G9" s="2" t="s">
        <v>168</v>
      </c>
      <c r="I9" s="1">
        <v>120</v>
      </c>
      <c r="J9" s="1" t="s">
        <v>168</v>
      </c>
      <c r="L9" s="1" t="s">
        <v>51</v>
      </c>
    </row>
    <row r="10" spans="1:16" x14ac:dyDescent="0.25">
      <c r="H10" s="2"/>
    </row>
    <row r="11" spans="1:16" x14ac:dyDescent="0.25">
      <c r="L11" s="2"/>
      <c r="N11" s="1" t="s">
        <v>52</v>
      </c>
      <c r="O11" s="2"/>
    </row>
    <row r="13" spans="1:16" x14ac:dyDescent="0.25">
      <c r="F13" s="1" t="s">
        <v>19</v>
      </c>
      <c r="N13" s="1">
        <v>65</v>
      </c>
      <c r="O13" s="1" t="s">
        <v>123</v>
      </c>
    </row>
    <row r="14" spans="1:16" x14ac:dyDescent="0.25">
      <c r="N14" s="1">
        <v>26</v>
      </c>
      <c r="O14" s="1" t="s">
        <v>168</v>
      </c>
    </row>
    <row r="15" spans="1:16" x14ac:dyDescent="0.25">
      <c r="N15" s="2"/>
    </row>
    <row r="16" spans="1:16" x14ac:dyDescent="0.25">
      <c r="P16" s="1" t="s">
        <v>35</v>
      </c>
    </row>
    <row r="18" spans="4:15" x14ac:dyDescent="0.25">
      <c r="N18" s="2">
        <v>2</v>
      </c>
      <c r="O18" s="1" t="s">
        <v>123</v>
      </c>
    </row>
    <row r="19" spans="4:15" x14ac:dyDescent="0.25">
      <c r="N19" s="2">
        <v>-40</v>
      </c>
      <c r="O19" s="1" t="s">
        <v>168</v>
      </c>
    </row>
    <row r="22" spans="4:15" x14ac:dyDescent="0.25">
      <c r="D22" s="2" t="s">
        <v>47</v>
      </c>
      <c r="F22" s="2" t="s">
        <v>48</v>
      </c>
    </row>
    <row r="23" spans="4:15" x14ac:dyDescent="0.25">
      <c r="D23" s="2" t="s">
        <v>42</v>
      </c>
      <c r="F23" s="2" t="s">
        <v>43</v>
      </c>
      <c r="H23" s="1" t="s">
        <v>46</v>
      </c>
      <c r="K23" s="1" t="s">
        <v>49</v>
      </c>
    </row>
    <row r="24" spans="4:15" x14ac:dyDescent="0.25">
      <c r="D24" s="176">
        <f>K24*988/9.3</f>
        <v>811.76860655500673</v>
      </c>
      <c r="E24" s="176" t="s">
        <v>41</v>
      </c>
      <c r="F24" s="176">
        <f>K24*1868/9.3</f>
        <v>1534.8013735270774</v>
      </c>
      <c r="G24" s="3" t="s">
        <v>41</v>
      </c>
      <c r="H24" s="3">
        <f>K24*16.5/9.3</f>
        <v>13.556864380726326</v>
      </c>
      <c r="I24" s="1" t="s">
        <v>45</v>
      </c>
      <c r="K24" s="3">
        <f>'Cryo Plt Drwg'!H33/0.75</f>
        <v>7.6411417418639305</v>
      </c>
      <c r="L24" s="1" t="s">
        <v>44</v>
      </c>
    </row>
    <row r="26" spans="4:15" x14ac:dyDescent="0.25">
      <c r="L26" s="1" t="s">
        <v>50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C1:U46"/>
  <sheetViews>
    <sheetView workbookViewId="0">
      <selection activeCell="N34" sqref="N34"/>
    </sheetView>
  </sheetViews>
  <sheetFormatPr defaultColWidth="9.140625" defaultRowHeight="15" x14ac:dyDescent="0.25"/>
  <cols>
    <col min="1" max="1" width="3.140625" style="4" customWidth="1"/>
    <col min="2" max="2" width="5" style="4" customWidth="1"/>
    <col min="3" max="8" width="9.140625" style="4"/>
    <col min="9" max="9" width="3.28515625" style="4" customWidth="1"/>
    <col min="10" max="16384" width="9.140625" style="4"/>
  </cols>
  <sheetData>
    <row r="1" spans="3:15" x14ac:dyDescent="0.25">
      <c r="C1" s="284" t="s">
        <v>217</v>
      </c>
    </row>
    <row r="3" spans="3:15" x14ac:dyDescent="0.25">
      <c r="F3" s="4" t="s">
        <v>19</v>
      </c>
    </row>
    <row r="4" spans="3:15" x14ac:dyDescent="0.25">
      <c r="M4" s="4" t="s">
        <v>273</v>
      </c>
      <c r="N4" s="4" t="s">
        <v>19</v>
      </c>
    </row>
    <row r="5" spans="3:15" x14ac:dyDescent="0.25">
      <c r="N5" s="4">
        <f>C19*C21</f>
        <v>0</v>
      </c>
      <c r="O5" s="4" t="s">
        <v>17</v>
      </c>
    </row>
    <row r="6" spans="3:15" x14ac:dyDescent="0.25">
      <c r="N6" s="4" t="s">
        <v>19</v>
      </c>
    </row>
    <row r="15" spans="3:15" x14ac:dyDescent="0.25">
      <c r="M15" s="4" t="s">
        <v>19</v>
      </c>
    </row>
    <row r="17" spans="3:21" x14ac:dyDescent="0.25">
      <c r="C17" s="4" t="s">
        <v>282</v>
      </c>
    </row>
    <row r="19" spans="3:21" x14ac:dyDescent="0.25">
      <c r="C19" s="274">
        <v>0</v>
      </c>
      <c r="D19" s="4" t="s">
        <v>17</v>
      </c>
    </row>
    <row r="20" spans="3:21" x14ac:dyDescent="0.25">
      <c r="C20" s="273">
        <v>0.93</v>
      </c>
      <c r="D20" s="4" t="s">
        <v>180</v>
      </c>
      <c r="J20" s="4" t="s">
        <v>19</v>
      </c>
      <c r="L20" s="6" t="s">
        <v>283</v>
      </c>
      <c r="T20" s="4" t="s">
        <v>271</v>
      </c>
    </row>
    <row r="21" spans="3:21" x14ac:dyDescent="0.25">
      <c r="C21" s="273">
        <v>6.5000000000000002E-2</v>
      </c>
      <c r="D21" s="4" t="s">
        <v>204</v>
      </c>
      <c r="J21" s="4" t="s">
        <v>19</v>
      </c>
      <c r="T21" s="106">
        <f>C19*(1-C21)</f>
        <v>0</v>
      </c>
      <c r="U21" s="4" t="s">
        <v>17</v>
      </c>
    </row>
    <row r="22" spans="3:21" x14ac:dyDescent="0.25">
      <c r="C22" s="273">
        <v>5.0000000000000001E-3</v>
      </c>
      <c r="D22" s="4" t="s">
        <v>284</v>
      </c>
    </row>
    <row r="23" spans="3:21" x14ac:dyDescent="0.25">
      <c r="C23" s="274">
        <v>10</v>
      </c>
      <c r="D23" s="4" t="s">
        <v>123</v>
      </c>
      <c r="M23" s="4" t="s">
        <v>19</v>
      </c>
    </row>
    <row r="24" spans="3:21" x14ac:dyDescent="0.25">
      <c r="C24" s="274">
        <v>180</v>
      </c>
      <c r="D24" s="4" t="s">
        <v>259</v>
      </c>
    </row>
    <row r="33" spans="7:17" x14ac:dyDescent="0.25">
      <c r="N33" s="6" t="s">
        <v>285</v>
      </c>
    </row>
    <row r="34" spans="7:17" x14ac:dyDescent="0.25">
      <c r="N34" s="274">
        <v>1500</v>
      </c>
      <c r="O34" s="4" t="s">
        <v>41</v>
      </c>
    </row>
    <row r="35" spans="7:17" x14ac:dyDescent="0.25">
      <c r="N35" s="107" t="s">
        <v>286</v>
      </c>
      <c r="O35" s="4" t="s">
        <v>287</v>
      </c>
    </row>
    <row r="45" spans="7:17" x14ac:dyDescent="0.25">
      <c r="G45" s="5" t="s">
        <v>274</v>
      </c>
      <c r="J45" s="5" t="s">
        <v>275</v>
      </c>
      <c r="L45" s="4" t="s">
        <v>288</v>
      </c>
      <c r="N45" s="5" t="s">
        <v>276</v>
      </c>
      <c r="Q45" s="4" t="s">
        <v>289</v>
      </c>
    </row>
    <row r="46" spans="7:17" x14ac:dyDescent="0.25">
      <c r="N46" s="5" t="s">
        <v>277</v>
      </c>
      <c r="Q46" s="4" t="s">
        <v>290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Design Basis</vt:lpstr>
      <vt:lpstr>Plant Op Exp</vt:lpstr>
      <vt:lpstr>Field Op Exp</vt:lpstr>
      <vt:lpstr>Gathering Drwg</vt:lpstr>
      <vt:lpstr>Booster Drwg</vt:lpstr>
      <vt:lpstr>Plant Inlet Drwg</vt:lpstr>
      <vt:lpstr>Cryo Plt Drwg</vt:lpstr>
      <vt:lpstr>Refrig Drwg</vt:lpstr>
      <vt:lpstr>Acid Gas Drwg</vt:lpstr>
      <vt:lpstr>Hp Est Tool</vt:lpstr>
      <vt:lpstr>Prop Est</vt:lpstr>
      <vt:lpstr>Flash</vt:lpstr>
      <vt:lpstr>K values</vt:lpstr>
      <vt:lpstr>Flash (2)</vt:lpstr>
      <vt:lpstr>K values (2)</vt:lpstr>
      <vt:lpstr>Cryo Prop Est</vt:lpstr>
      <vt:lpstr>HDP</vt:lpstr>
      <vt:lpstr>Water Content</vt:lpstr>
      <vt:lpstr>Dropout Chart</vt:lpstr>
      <vt:lpstr>Sheet2</vt:lpstr>
      <vt:lpstr>mL</vt:lpstr>
      <vt:lpstr>mM</vt:lpstr>
      <vt:lpstr>'Dropout Chart'!Print_Area</vt:lpstr>
      <vt:lpstr>'Plant Op Exp'!Print_Area</vt:lpstr>
    </vt:vector>
  </TitlesOfParts>
  <Company>For Internal Use Only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Landon, Wayne</dc:creator>
  <cp:lastModifiedBy>gloria landon</cp:lastModifiedBy>
  <cp:lastPrinted>2015-01-27T21:29:04Z</cp:lastPrinted>
  <dcterms:created xsi:type="dcterms:W3CDTF">2013-07-31T12:54:20Z</dcterms:created>
  <dcterms:modified xsi:type="dcterms:W3CDTF">2025-10-05T03:17:34Z</dcterms:modified>
</cp:coreProperties>
</file>