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wayne_z8780x5\Documents\Engineering Models final\"/>
    </mc:Choice>
  </mc:AlternateContent>
  <xr:revisionPtr revIDLastSave="0" documentId="13_ncr:1_{33982920-D1C9-4820-9A41-6C1D24AFBFEF}" xr6:coauthVersionLast="47" xr6:coauthVersionMax="47" xr10:uidLastSave="{00000000-0000-0000-0000-000000000000}"/>
  <bookViews>
    <workbookView xWindow="30" yWindow="135" windowWidth="20460" windowHeight="10770" tabRatio="679" activeTab="1" xr2:uid="{00000000-000D-0000-FFFF-FFFF00000000}"/>
  </bookViews>
  <sheets>
    <sheet name="Instructions" sheetId="44" r:id="rId1"/>
    <sheet name="Drawing" sheetId="12" r:id="rId2"/>
    <sheet name="Compositions" sheetId="15" r:id="rId3"/>
    <sheet name="Chart A - Weather" sheetId="49" r:id="rId4"/>
    <sheet name="PD 1to2" sheetId="56" r:id="rId5"/>
    <sheet name="PD 6to7" sheetId="57" r:id="rId6"/>
    <sheet name="Flash A" sheetId="61" r:id="rId7"/>
    <sheet name="Flash B" sheetId="62" r:id="rId8"/>
    <sheet name="Hp Est Tool" sheetId="8" r:id="rId9"/>
    <sheet name="HDP 1 2" sheetId="10" r:id="rId10"/>
    <sheet name="HDP 6 7 8" sheetId="26" r:id="rId11"/>
    <sheet name="Prop Est Flash 1" sheetId="9" r:id="rId12"/>
    <sheet name="Prop Est 2" sheetId="17" state="hidden" r:id="rId13"/>
    <sheet name="Prop Est Flash 2" sheetId="35" r:id="rId14"/>
    <sheet name="water content 1" sheetId="38" r:id="rId15"/>
    <sheet name="water content 2" sheetId="58" r:id="rId16"/>
    <sheet name="water content 6" sheetId="59" r:id="rId17"/>
    <sheet name="water content 7" sheetId="60" r:id="rId18"/>
    <sheet name="Dropout Chart" sheetId="23" r:id="rId19"/>
  </sheets>
  <externalReferences>
    <externalReference r:id="rId20"/>
    <externalReference r:id="rId21"/>
    <externalReference r:id="rId22"/>
  </externalReferences>
  <definedNames>
    <definedName name="_xlnm._FilterDatabase" localSheetId="9" hidden="1">'HDP 1 2'!$A$18:$B$32</definedName>
    <definedName name="B">'[3]Flash A'!$F$25</definedName>
    <definedName name="mL" localSheetId="6">'Flash A'!$D$11</definedName>
    <definedName name="mL" localSheetId="7">'Flash B'!$D$11</definedName>
    <definedName name="mL">#REF!</definedName>
    <definedName name="_xlnm.Print_Area" localSheetId="2">Compositions!$B$6:$J$30</definedName>
    <definedName name="_xlnm.Print_Area" localSheetId="1">Drawing!$A$3:$AE$65</definedName>
    <definedName name="_xlnm.Print_Area" localSheetId="18">'Dropout Chart'!$A$2:$R$35</definedName>
    <definedName name="solver_adj" localSheetId="6" hidden="1">'Flash A'!$D$11</definedName>
    <definedName name="solver_adj" localSheetId="7" hidden="1">'Flash B'!$D$11</definedName>
    <definedName name="solver_adj" localSheetId="11" hidden="1">'Prop Est Flash 1'!$AA$2</definedName>
    <definedName name="solver_adj" localSheetId="13" hidden="1">'Prop Est Flash 2'!$AA$2</definedName>
    <definedName name="solver_cvg" localSheetId="6" hidden="1">0.0001</definedName>
    <definedName name="solver_cvg" localSheetId="7" hidden="1">0.0001</definedName>
    <definedName name="solver_cvg" localSheetId="11" hidden="1">0.0001</definedName>
    <definedName name="solver_cvg" localSheetId="13" hidden="1">0.0001</definedName>
    <definedName name="solver_drv" localSheetId="6" hidden="1">2</definedName>
    <definedName name="solver_drv" localSheetId="7" hidden="1">2</definedName>
    <definedName name="solver_drv" localSheetId="11" hidden="1">1</definedName>
    <definedName name="solver_drv" localSheetId="13" hidden="1">1</definedName>
    <definedName name="solver_eng" localSheetId="1" hidden="1">1</definedName>
    <definedName name="solver_eng" localSheetId="6" hidden="1">1</definedName>
    <definedName name="solver_eng" localSheetId="7" hidden="1">1</definedName>
    <definedName name="solver_eng" localSheetId="11" hidden="1">1</definedName>
    <definedName name="solver_eng" localSheetId="13" hidden="1">1</definedName>
    <definedName name="solver_est" localSheetId="6" hidden="1">1</definedName>
    <definedName name="solver_est" localSheetId="7" hidden="1">1</definedName>
    <definedName name="solver_est" localSheetId="11" hidden="1">1</definedName>
    <definedName name="solver_est" localSheetId="13" hidden="1">1</definedName>
    <definedName name="solver_itr" localSheetId="6" hidden="1">2147483647</definedName>
    <definedName name="solver_itr" localSheetId="7" hidden="1">2147483647</definedName>
    <definedName name="solver_itr" localSheetId="11" hidden="1">2147483647</definedName>
    <definedName name="solver_itr" localSheetId="13" hidden="1">2147483647</definedName>
    <definedName name="solver_lhs1" localSheetId="6" hidden="1">'Flash A'!$D$11</definedName>
    <definedName name="solver_lhs1" localSheetId="7" hidden="1">'Flash B'!$D$11</definedName>
    <definedName name="solver_lhs1" localSheetId="11" hidden="1">'Prop Est Flash 1'!$AA$2</definedName>
    <definedName name="solver_lhs1" localSheetId="13" hidden="1">'Prop Est Flash 2'!$AA$2</definedName>
    <definedName name="solver_lhs2" localSheetId="6" hidden="1">'Flash A'!$D$11</definedName>
    <definedName name="solver_lhs2" localSheetId="7" hidden="1">'Flash B'!$D$11</definedName>
    <definedName name="solver_lhs2" localSheetId="11" hidden="1">'Prop Est Flash 1'!$AA$2</definedName>
    <definedName name="solver_lhs2" localSheetId="13" hidden="1">'Prop Est Flash 2'!$AA$2</definedName>
    <definedName name="solver_lhs3" localSheetId="6" hidden="1">'Flash A'!$D$11</definedName>
    <definedName name="solver_lhs3" localSheetId="7" hidden="1">'Flash B'!$D$11</definedName>
    <definedName name="solver_lhs4" localSheetId="6" hidden="1">'Flash A'!$D$11</definedName>
    <definedName name="solver_lhs4" localSheetId="7" hidden="1">'Flash B'!$D$11</definedName>
    <definedName name="solver_mip" localSheetId="6" hidden="1">2147483647</definedName>
    <definedName name="solver_mip" localSheetId="7" hidden="1">2147483647</definedName>
    <definedName name="solver_mip" localSheetId="11" hidden="1">2147483647</definedName>
    <definedName name="solver_mip" localSheetId="13" hidden="1">2147483647</definedName>
    <definedName name="solver_mni" localSheetId="6" hidden="1">30</definedName>
    <definedName name="solver_mni" localSheetId="7" hidden="1">30</definedName>
    <definedName name="solver_mni" localSheetId="11" hidden="1">30</definedName>
    <definedName name="solver_mni" localSheetId="13" hidden="1">30</definedName>
    <definedName name="solver_mrt" localSheetId="6" hidden="1">0.075</definedName>
    <definedName name="solver_mrt" localSheetId="7" hidden="1">0.075</definedName>
    <definedName name="solver_mrt" localSheetId="11" hidden="1">0.075</definedName>
    <definedName name="solver_mrt" localSheetId="13" hidden="1">0.075</definedName>
    <definedName name="solver_msl" localSheetId="6" hidden="1">2</definedName>
    <definedName name="solver_msl" localSheetId="7" hidden="1">2</definedName>
    <definedName name="solver_msl" localSheetId="11" hidden="1">2</definedName>
    <definedName name="solver_msl" localSheetId="13" hidden="1">2</definedName>
    <definedName name="solver_neg" localSheetId="1" hidden="1">1</definedName>
    <definedName name="solver_neg" localSheetId="6" hidden="1">1</definedName>
    <definedName name="solver_neg" localSheetId="7" hidden="1">1</definedName>
    <definedName name="solver_neg" localSheetId="11" hidden="1">1</definedName>
    <definedName name="solver_neg" localSheetId="13" hidden="1">1</definedName>
    <definedName name="solver_nod" localSheetId="6" hidden="1">2147483647</definedName>
    <definedName name="solver_nod" localSheetId="7" hidden="1">2147483647</definedName>
    <definedName name="solver_nod" localSheetId="11" hidden="1">2147483647</definedName>
    <definedName name="solver_nod" localSheetId="13" hidden="1">2147483647</definedName>
    <definedName name="solver_num" localSheetId="1" hidden="1">0</definedName>
    <definedName name="solver_num" localSheetId="6" hidden="1">2</definedName>
    <definedName name="solver_num" localSheetId="7" hidden="1">2</definedName>
    <definedName name="solver_num" localSheetId="11" hidden="1">2</definedName>
    <definedName name="solver_num" localSheetId="13" hidden="1">2</definedName>
    <definedName name="solver_nwt" localSheetId="6" hidden="1">1</definedName>
    <definedName name="solver_nwt" localSheetId="7" hidden="1">1</definedName>
    <definedName name="solver_nwt" localSheetId="11" hidden="1">1</definedName>
    <definedName name="solver_nwt" localSheetId="13" hidden="1">1</definedName>
    <definedName name="solver_opt" localSheetId="1" hidden="1">Drawing!$K$36</definedName>
    <definedName name="solver_opt" localSheetId="6" hidden="1">'Flash A'!$F$26</definedName>
    <definedName name="solver_opt" localSheetId="7" hidden="1">'Flash B'!$F$26</definedName>
    <definedName name="solver_opt" localSheetId="11" hidden="1">'Prop Est Flash 1'!$Z$25</definedName>
    <definedName name="solver_opt" localSheetId="13" hidden="1">'Prop Est Flash 2'!$Z$25</definedName>
    <definedName name="solver_pre" localSheetId="6" hidden="1">0.00000001</definedName>
    <definedName name="solver_pre" localSheetId="7" hidden="1">0.00000001</definedName>
    <definedName name="solver_pre" localSheetId="11" hidden="1">0.000001</definedName>
    <definedName name="solver_pre" localSheetId="13" hidden="1">0.000001</definedName>
    <definedName name="solver_rbv" localSheetId="6" hidden="1">2</definedName>
    <definedName name="solver_rbv" localSheetId="7" hidden="1">2</definedName>
    <definedName name="solver_rbv" localSheetId="11" hidden="1">1</definedName>
    <definedName name="solver_rbv" localSheetId="13" hidden="1">1</definedName>
    <definedName name="solver_rel1" localSheetId="6" hidden="1">1</definedName>
    <definedName name="solver_rel1" localSheetId="7" hidden="1">1</definedName>
    <definedName name="solver_rel1" localSheetId="11" hidden="1">1</definedName>
    <definedName name="solver_rel1" localSheetId="13" hidden="1">1</definedName>
    <definedName name="solver_rel2" localSheetId="6" hidden="1">3</definedName>
    <definedName name="solver_rel2" localSheetId="7" hidden="1">3</definedName>
    <definedName name="solver_rel2" localSheetId="11" hidden="1">3</definedName>
    <definedName name="solver_rel2" localSheetId="13" hidden="1">3</definedName>
    <definedName name="solver_rel3" localSheetId="6" hidden="1">3</definedName>
    <definedName name="solver_rel3" localSheetId="7" hidden="1">3</definedName>
    <definedName name="solver_rel4" localSheetId="6" hidden="1">3</definedName>
    <definedName name="solver_rel4" localSheetId="7" hidden="1">3</definedName>
    <definedName name="solver_rhs1" localSheetId="6" hidden="1">1</definedName>
    <definedName name="solver_rhs1" localSheetId="7" hidden="1">1</definedName>
    <definedName name="solver_rhs1" localSheetId="11" hidden="1">0.99999</definedName>
    <definedName name="solver_rhs1" localSheetId="13" hidden="1">0.99999</definedName>
    <definedName name="solver_rhs2" localSheetId="6" hidden="1">0</definedName>
    <definedName name="solver_rhs2" localSheetId="7" hidden="1">0</definedName>
    <definedName name="solver_rhs2" localSheetId="11" hidden="1">0.00001</definedName>
    <definedName name="solver_rhs2" localSheetId="13" hidden="1">0.00001</definedName>
    <definedName name="solver_rhs3" localSheetId="6" hidden="1">0</definedName>
    <definedName name="solver_rhs3" localSheetId="7" hidden="1">0</definedName>
    <definedName name="solver_rhs4" localSheetId="6" hidden="1">0</definedName>
    <definedName name="solver_rhs4" localSheetId="7" hidden="1">0</definedName>
    <definedName name="solver_rlx" localSheetId="6" hidden="1">2</definedName>
    <definedName name="solver_rlx" localSheetId="7" hidden="1">2</definedName>
    <definedName name="solver_rlx" localSheetId="11" hidden="1">2</definedName>
    <definedName name="solver_rlx" localSheetId="13" hidden="1">2</definedName>
    <definedName name="solver_rsd" localSheetId="6" hidden="1">0</definedName>
    <definedName name="solver_rsd" localSheetId="7" hidden="1">0</definedName>
    <definedName name="solver_rsd" localSheetId="11" hidden="1">0</definedName>
    <definedName name="solver_rsd" localSheetId="13" hidden="1">0</definedName>
    <definedName name="solver_scl" localSheetId="6" hidden="1">2</definedName>
    <definedName name="solver_scl" localSheetId="7" hidden="1">2</definedName>
    <definedName name="solver_scl" localSheetId="11" hidden="1">1</definedName>
    <definedName name="solver_scl" localSheetId="13" hidden="1">1</definedName>
    <definedName name="solver_sho" localSheetId="6" hidden="1">2</definedName>
    <definedName name="solver_sho" localSheetId="7" hidden="1">2</definedName>
    <definedName name="solver_sho" localSheetId="11" hidden="1">2</definedName>
    <definedName name="solver_sho" localSheetId="13" hidden="1">2</definedName>
    <definedName name="solver_ssz" localSheetId="6" hidden="1">100</definedName>
    <definedName name="solver_ssz" localSheetId="7" hidden="1">100</definedName>
    <definedName name="solver_ssz" localSheetId="11" hidden="1">100</definedName>
    <definedName name="solver_ssz" localSheetId="13" hidden="1">100</definedName>
    <definedName name="solver_tim" localSheetId="6" hidden="1">2147483647</definedName>
    <definedName name="solver_tim" localSheetId="7" hidden="1">2147483647</definedName>
    <definedName name="solver_tim" localSheetId="11" hidden="1">2147483647</definedName>
    <definedName name="solver_tim" localSheetId="13" hidden="1">2147483647</definedName>
    <definedName name="solver_tol" localSheetId="6" hidden="1">0.01</definedName>
    <definedName name="solver_tol" localSheetId="7" hidden="1">0.01</definedName>
    <definedName name="solver_tol" localSheetId="11" hidden="1">0.01</definedName>
    <definedName name="solver_tol" localSheetId="13" hidden="1">0.01</definedName>
    <definedName name="solver_typ" localSheetId="1" hidden="1">1</definedName>
    <definedName name="solver_typ" localSheetId="6" hidden="1">3</definedName>
    <definedName name="solver_typ" localSheetId="7" hidden="1">3</definedName>
    <definedName name="solver_typ" localSheetId="11" hidden="1">3</definedName>
    <definedName name="solver_typ" localSheetId="13" hidden="1">3</definedName>
    <definedName name="solver_val" localSheetId="1" hidden="1">0</definedName>
    <definedName name="solver_val" localSheetId="6" hidden="1">0</definedName>
    <definedName name="solver_val" localSheetId="7" hidden="1">0</definedName>
    <definedName name="solver_val" localSheetId="11" hidden="1">0.001</definedName>
    <definedName name="solver_val" localSheetId="13" hidden="1">0.001</definedName>
    <definedName name="solver_ver" localSheetId="1" hidden="1">3</definedName>
    <definedName name="solver_ver" localSheetId="6" hidden="1">3</definedName>
    <definedName name="solver_ver" localSheetId="7" hidden="1">3</definedName>
    <definedName name="solver_ver" localSheetId="11" hidden="1">3</definedName>
    <definedName name="solver_ver" localSheetId="13" hidde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1" i="35" l="1"/>
  <c r="Y22" i="35"/>
  <c r="Z22" i="35"/>
  <c r="AA22" i="35"/>
  <c r="AB22" i="35"/>
  <c r="Y23" i="35"/>
  <c r="Z23" i="35"/>
  <c r="AA23" i="35"/>
  <c r="AB23" i="35"/>
  <c r="Z24" i="35"/>
  <c r="AA24" i="35"/>
  <c r="AB24" i="35"/>
  <c r="Y10" i="9"/>
  <c r="Y11" i="9"/>
  <c r="Y12" i="9"/>
  <c r="Y13" i="9"/>
  <c r="Y14" i="9"/>
  <c r="Y15" i="9"/>
  <c r="Y16" i="9"/>
  <c r="Y17" i="9"/>
  <c r="Y18" i="9"/>
  <c r="Y19" i="9"/>
  <c r="Y20" i="9"/>
  <c r="Y21" i="9"/>
  <c r="Y22" i="9"/>
  <c r="Z22" i="9"/>
  <c r="AA22" i="9"/>
  <c r="AB22" i="9"/>
  <c r="Y23" i="9"/>
  <c r="Z23" i="9"/>
  <c r="AA23" i="9"/>
  <c r="AB23" i="9"/>
  <c r="Y9" i="9"/>
  <c r="B6" i="62" l="1"/>
  <c r="G77" i="62"/>
  <c r="F77" i="62"/>
  <c r="E77" i="62"/>
  <c r="I76" i="62"/>
  <c r="H76" i="62"/>
  <c r="G76" i="62"/>
  <c r="F76" i="62"/>
  <c r="E76" i="62"/>
  <c r="I75" i="62"/>
  <c r="H75" i="62"/>
  <c r="G75" i="62"/>
  <c r="F75" i="62"/>
  <c r="E75" i="62"/>
  <c r="I74" i="62"/>
  <c r="H74" i="62"/>
  <c r="G74" i="62"/>
  <c r="F74" i="62"/>
  <c r="E74" i="62"/>
  <c r="I73" i="62"/>
  <c r="H73" i="62"/>
  <c r="G73" i="62"/>
  <c r="F73" i="62"/>
  <c r="E73" i="62"/>
  <c r="I72" i="62"/>
  <c r="H72" i="62"/>
  <c r="G72" i="62"/>
  <c r="F72" i="62"/>
  <c r="E72" i="62"/>
  <c r="I71" i="62"/>
  <c r="H71" i="62"/>
  <c r="G71" i="62"/>
  <c r="F71" i="62"/>
  <c r="E71" i="62"/>
  <c r="I70" i="62"/>
  <c r="H70" i="62"/>
  <c r="G70" i="62"/>
  <c r="F70" i="62"/>
  <c r="E70" i="62"/>
  <c r="I69" i="62"/>
  <c r="J69" i="62" s="1"/>
  <c r="H69" i="62"/>
  <c r="G69" i="62"/>
  <c r="F69" i="62"/>
  <c r="E69" i="62"/>
  <c r="I68" i="62"/>
  <c r="H68" i="62"/>
  <c r="I67" i="62"/>
  <c r="H67" i="62"/>
  <c r="G67" i="62"/>
  <c r="F67" i="62"/>
  <c r="E67" i="62"/>
  <c r="I66" i="62"/>
  <c r="H66" i="62"/>
  <c r="G66" i="62"/>
  <c r="F66" i="62"/>
  <c r="E66" i="62"/>
  <c r="C49" i="62"/>
  <c r="J76" i="62" s="1"/>
  <c r="Z25" i="62"/>
  <c r="AA25" i="62" s="1"/>
  <c r="Y25" i="62"/>
  <c r="X25" i="62"/>
  <c r="AA24" i="62"/>
  <c r="Z24" i="62"/>
  <c r="X24" i="62"/>
  <c r="Y24" i="62" s="1"/>
  <c r="AA23" i="62"/>
  <c r="Z23" i="62"/>
  <c r="Y23" i="62"/>
  <c r="X23" i="62"/>
  <c r="AA22" i="62"/>
  <c r="Z22" i="62"/>
  <c r="X22" i="62"/>
  <c r="Y22" i="62" s="1"/>
  <c r="AA21" i="62"/>
  <c r="Z21" i="62"/>
  <c r="Y21" i="62"/>
  <c r="X21" i="62"/>
  <c r="AA20" i="62"/>
  <c r="Z20" i="62"/>
  <c r="X20" i="62"/>
  <c r="Y20" i="62" s="1"/>
  <c r="AA19" i="62"/>
  <c r="Z19" i="62"/>
  <c r="Y19" i="62"/>
  <c r="X19" i="62"/>
  <c r="AA18" i="62"/>
  <c r="Z18" i="62"/>
  <c r="X18" i="62"/>
  <c r="Y18" i="62" s="1"/>
  <c r="AE17" i="62"/>
  <c r="AA17" i="62"/>
  <c r="Z17" i="62"/>
  <c r="X17" i="62"/>
  <c r="Y17" i="62" s="1"/>
  <c r="AA16" i="62"/>
  <c r="Z16" i="62"/>
  <c r="X16" i="62"/>
  <c r="Y16" i="62" s="1"/>
  <c r="Z15" i="62"/>
  <c r="AA15" i="62" s="1"/>
  <c r="Y15" i="62"/>
  <c r="X15" i="62"/>
  <c r="AA14" i="62"/>
  <c r="Z14" i="62"/>
  <c r="Y14" i="62"/>
  <c r="X14" i="62"/>
  <c r="B6" i="61"/>
  <c r="B5" i="61"/>
  <c r="E25" i="61"/>
  <c r="D25" i="61" s="1"/>
  <c r="E24" i="61"/>
  <c r="E15" i="61"/>
  <c r="E16" i="61"/>
  <c r="E17" i="61"/>
  <c r="M17" i="61" s="1"/>
  <c r="E18" i="61"/>
  <c r="M18" i="61" s="1"/>
  <c r="E19" i="61"/>
  <c r="E20" i="61"/>
  <c r="M20" i="61" s="1"/>
  <c r="E21" i="61"/>
  <c r="D21" i="61" s="1"/>
  <c r="E22" i="61"/>
  <c r="M22" i="61" s="1"/>
  <c r="N22" i="61" s="1"/>
  <c r="E23" i="61"/>
  <c r="E14" i="61"/>
  <c r="G77" i="61"/>
  <c r="F77" i="61"/>
  <c r="E77" i="61"/>
  <c r="I76" i="61"/>
  <c r="H76" i="61"/>
  <c r="J76" i="61" s="1"/>
  <c r="G76" i="61"/>
  <c r="F76" i="61"/>
  <c r="E76" i="61"/>
  <c r="I75" i="61"/>
  <c r="H75" i="61"/>
  <c r="G75" i="61"/>
  <c r="F75" i="61"/>
  <c r="E75" i="61"/>
  <c r="I74" i="61"/>
  <c r="H74" i="61"/>
  <c r="J74" i="61" s="1"/>
  <c r="G74" i="61"/>
  <c r="F74" i="61"/>
  <c r="E74" i="61"/>
  <c r="I73" i="61"/>
  <c r="H73" i="61"/>
  <c r="J73" i="61" s="1"/>
  <c r="G73" i="61"/>
  <c r="F73" i="61"/>
  <c r="E73" i="61"/>
  <c r="I72" i="61"/>
  <c r="H72" i="61"/>
  <c r="G72" i="61"/>
  <c r="F72" i="61"/>
  <c r="E72" i="61"/>
  <c r="I71" i="61"/>
  <c r="H71" i="61"/>
  <c r="G71" i="61"/>
  <c r="F71" i="61"/>
  <c r="E71" i="61"/>
  <c r="I70" i="61"/>
  <c r="H70" i="61"/>
  <c r="J70" i="61" s="1"/>
  <c r="G70" i="61"/>
  <c r="F70" i="61"/>
  <c r="E70" i="61"/>
  <c r="I69" i="61"/>
  <c r="H69" i="61"/>
  <c r="G69" i="61"/>
  <c r="F69" i="61"/>
  <c r="E69" i="61"/>
  <c r="I68" i="61"/>
  <c r="H68" i="61"/>
  <c r="J68" i="61" s="1"/>
  <c r="I67" i="61"/>
  <c r="H67" i="61"/>
  <c r="G67" i="61"/>
  <c r="F67" i="61"/>
  <c r="E67" i="61"/>
  <c r="I66" i="61"/>
  <c r="H66" i="61"/>
  <c r="G66" i="61"/>
  <c r="F66" i="61"/>
  <c r="E66" i="61"/>
  <c r="C49" i="61"/>
  <c r="AA25" i="61"/>
  <c r="Z25" i="61"/>
  <c r="X25" i="61"/>
  <c r="Y25" i="61" s="1"/>
  <c r="M25" i="61"/>
  <c r="N25" i="61" s="1"/>
  <c r="AA24" i="61"/>
  <c r="Z24" i="61"/>
  <c r="X24" i="61"/>
  <c r="Y24" i="61" s="1"/>
  <c r="N24" i="61" s="1"/>
  <c r="M24" i="61"/>
  <c r="Z23" i="61"/>
  <c r="AA23" i="61" s="1"/>
  <c r="Y23" i="61"/>
  <c r="N23" i="61" s="1"/>
  <c r="X23" i="61"/>
  <c r="M23" i="61"/>
  <c r="D23" i="61"/>
  <c r="Z22" i="61"/>
  <c r="AA22" i="61" s="1"/>
  <c r="Y22" i="61"/>
  <c r="X22" i="61"/>
  <c r="AA21" i="61"/>
  <c r="Z21" i="61"/>
  <c r="X21" i="61"/>
  <c r="Y21" i="61" s="1"/>
  <c r="M21" i="61"/>
  <c r="N21" i="61" s="1"/>
  <c r="AA20" i="61"/>
  <c r="Z20" i="61"/>
  <c r="X20" i="61"/>
  <c r="Y20" i="61" s="1"/>
  <c r="D20" i="61"/>
  <c r="Z19" i="61"/>
  <c r="AA19" i="61" s="1"/>
  <c r="Y19" i="61"/>
  <c r="N19" i="61" s="1"/>
  <c r="X19" i="61"/>
  <c r="M19" i="61"/>
  <c r="D19" i="61"/>
  <c r="Z18" i="61"/>
  <c r="AA18" i="61" s="1"/>
  <c r="Y18" i="61"/>
  <c r="X18" i="61"/>
  <c r="D18" i="61"/>
  <c r="AE17" i="61"/>
  <c r="AA17" i="61"/>
  <c r="Z17" i="61"/>
  <c r="X17" i="61"/>
  <c r="Y17" i="61" s="1"/>
  <c r="AA16" i="61"/>
  <c r="Z16" i="61"/>
  <c r="Y16" i="61"/>
  <c r="X16" i="61"/>
  <c r="M16" i="61"/>
  <c r="D16" i="61"/>
  <c r="AA15" i="61"/>
  <c r="Z15" i="61"/>
  <c r="Y15" i="61"/>
  <c r="X15" i="61"/>
  <c r="M15" i="61"/>
  <c r="D15" i="61"/>
  <c r="AA14" i="61"/>
  <c r="Z14" i="61"/>
  <c r="X14" i="61"/>
  <c r="Y14" i="61" s="1"/>
  <c r="M14" i="61"/>
  <c r="D14" i="61"/>
  <c r="J71" i="62" l="1"/>
  <c r="J75" i="62"/>
  <c r="J73" i="62"/>
  <c r="J68" i="62"/>
  <c r="J66" i="62"/>
  <c r="J67" i="62"/>
  <c r="J70" i="62"/>
  <c r="J72" i="62"/>
  <c r="J74" i="62"/>
  <c r="J67" i="61"/>
  <c r="J71" i="61"/>
  <c r="J69" i="61"/>
  <c r="J72" i="61"/>
  <c r="J75" i="61"/>
  <c r="D24" i="61"/>
  <c r="R26" i="61"/>
  <c r="AC26" i="61"/>
  <c r="N20" i="61"/>
  <c r="D22" i="61"/>
  <c r="D17" i="61"/>
  <c r="E26" i="61"/>
  <c r="AE26" i="61"/>
  <c r="S26" i="61"/>
  <c r="AA26" i="61"/>
  <c r="Y26" i="61"/>
  <c r="M26" i="61"/>
  <c r="AD26" i="61"/>
  <c r="N18" i="61"/>
  <c r="N26" i="61" s="1"/>
  <c r="W26" i="61"/>
  <c r="X26" i="61" s="1"/>
  <c r="V26" i="61"/>
  <c r="J66" i="61"/>
  <c r="P26" i="61"/>
  <c r="Z26" i="61" s="1"/>
  <c r="T26" i="61"/>
  <c r="AB26" i="61"/>
  <c r="Q26" i="61"/>
  <c r="U26" i="61"/>
  <c r="D26" i="61" l="1"/>
  <c r="I44" i="60" l="1"/>
  <c r="I45" i="60" s="1"/>
  <c r="E7" i="60"/>
  <c r="R99" i="60" s="1"/>
  <c r="E7" i="59"/>
  <c r="R99" i="59" s="1"/>
  <c r="I44" i="59"/>
  <c r="I45" i="59" s="1"/>
  <c r="E7" i="58"/>
  <c r="R99" i="58" s="1"/>
  <c r="I44" i="58"/>
  <c r="I45" i="58" s="1"/>
  <c r="B37" i="12"/>
  <c r="K35" i="12" s="1"/>
  <c r="P25" i="9"/>
  <c r="O25" i="9"/>
  <c r="Q35" i="12"/>
  <c r="P35" i="12"/>
  <c r="L35" i="12"/>
  <c r="E9" i="57"/>
  <c r="E11" i="57"/>
  <c r="E12" i="57" s="1"/>
  <c r="H97" i="57" s="1"/>
  <c r="E10" i="57"/>
  <c r="G97" i="57"/>
  <c r="G96" i="57"/>
  <c r="G95" i="57"/>
  <c r="G94" i="57"/>
  <c r="G93" i="57"/>
  <c r="E15" i="57"/>
  <c r="I99" i="60" l="1"/>
  <c r="M99" i="60"/>
  <c r="Q99" i="60"/>
  <c r="K99" i="60"/>
  <c r="O99" i="60"/>
  <c r="S99" i="60"/>
  <c r="E8" i="60"/>
  <c r="E10" i="60" s="1"/>
  <c r="L99" i="60"/>
  <c r="P99" i="60"/>
  <c r="O28" i="60"/>
  <c r="I16" i="60" s="1"/>
  <c r="J99" i="60"/>
  <c r="N99" i="60"/>
  <c r="I99" i="59"/>
  <c r="M99" i="59"/>
  <c r="Q99" i="59"/>
  <c r="K99" i="59"/>
  <c r="O99" i="59"/>
  <c r="S99" i="59"/>
  <c r="E8" i="59"/>
  <c r="E10" i="59" s="1"/>
  <c r="L99" i="59"/>
  <c r="P99" i="59"/>
  <c r="O28" i="59"/>
  <c r="I16" i="59" s="1"/>
  <c r="J99" i="59"/>
  <c r="N99" i="59"/>
  <c r="S99" i="58"/>
  <c r="O99" i="58"/>
  <c r="E8" i="58"/>
  <c r="E10" i="58" s="1"/>
  <c r="L99" i="58"/>
  <c r="P99" i="58"/>
  <c r="I99" i="58"/>
  <c r="M99" i="58"/>
  <c r="Q99" i="58"/>
  <c r="K99" i="58"/>
  <c r="O28" i="58"/>
  <c r="I16" i="58" s="1"/>
  <c r="J99" i="58"/>
  <c r="N99" i="58"/>
  <c r="I89" i="57"/>
  <c r="E16" i="57" s="1"/>
  <c r="H94" i="57"/>
  <c r="H96" i="57"/>
  <c r="H93" i="57"/>
  <c r="H95" i="57"/>
  <c r="J100" i="60" l="1"/>
  <c r="I43" i="60"/>
  <c r="I42" i="60"/>
  <c r="E9" i="60"/>
  <c r="J101" i="60"/>
  <c r="J100" i="59"/>
  <c r="I43" i="59"/>
  <c r="E9" i="59"/>
  <c r="I42" i="59"/>
  <c r="J101" i="59"/>
  <c r="J100" i="58"/>
  <c r="I43" i="58"/>
  <c r="E9" i="58"/>
  <c r="I42" i="58"/>
  <c r="J101" i="58"/>
  <c r="J89" i="57"/>
  <c r="J90" i="57"/>
  <c r="M42" i="60" l="1"/>
  <c r="M44" i="60" s="1"/>
  <c r="O42" i="60"/>
  <c r="O44" i="60" s="1"/>
  <c r="K42" i="60"/>
  <c r="K44" i="60" s="1"/>
  <c r="N42" i="60"/>
  <c r="N44" i="60" s="1"/>
  <c r="P42" i="60"/>
  <c r="P44" i="60" s="1"/>
  <c r="L42" i="60"/>
  <c r="L44" i="60" s="1"/>
  <c r="M42" i="59"/>
  <c r="M44" i="59" s="1"/>
  <c r="O42" i="59"/>
  <c r="O44" i="59" s="1"/>
  <c r="K42" i="59"/>
  <c r="K44" i="59" s="1"/>
  <c r="P42" i="59"/>
  <c r="P44" i="59" s="1"/>
  <c r="L42" i="59"/>
  <c r="L44" i="59" s="1"/>
  <c r="N42" i="59"/>
  <c r="N44" i="59" s="1"/>
  <c r="M42" i="58"/>
  <c r="M44" i="58" s="1"/>
  <c r="P42" i="58"/>
  <c r="P44" i="58" s="1"/>
  <c r="L42" i="58"/>
  <c r="L44" i="58" s="1"/>
  <c r="O42" i="58"/>
  <c r="O44" i="58" s="1"/>
  <c r="K42" i="58"/>
  <c r="K44" i="58" s="1"/>
  <c r="N42" i="58"/>
  <c r="N44" i="58" s="1"/>
  <c r="E11" i="56"/>
  <c r="E12" i="56" s="1"/>
  <c r="H96" i="56" s="1"/>
  <c r="E10" i="56"/>
  <c r="E9" i="56"/>
  <c r="E8" i="56"/>
  <c r="E6" i="56"/>
  <c r="G97" i="56"/>
  <c r="G96" i="56"/>
  <c r="G95" i="56"/>
  <c r="G94" i="56"/>
  <c r="G93" i="56"/>
  <c r="E15" i="56"/>
  <c r="Q44" i="60" l="1"/>
  <c r="R44" i="60" s="1"/>
  <c r="S44" i="60" s="1"/>
  <c r="T44" i="60" s="1"/>
  <c r="T45" i="60" s="1"/>
  <c r="Q44" i="59"/>
  <c r="R44" i="59" s="1"/>
  <c r="S44" i="59" s="1"/>
  <c r="T44" i="59" s="1"/>
  <c r="T45" i="59" s="1"/>
  <c r="Q44" i="58"/>
  <c r="R44" i="58" s="1"/>
  <c r="S44" i="58" s="1"/>
  <c r="T44" i="58" s="1"/>
  <c r="T45" i="58" s="1"/>
  <c r="E7" i="56"/>
  <c r="E17" i="56" s="1"/>
  <c r="C116" i="56"/>
  <c r="E23" i="56" s="1"/>
  <c r="H95" i="56"/>
  <c r="C106" i="56"/>
  <c r="E21" i="56" s="1"/>
  <c r="H97" i="56"/>
  <c r="H93" i="56"/>
  <c r="C111" i="56"/>
  <c r="E22" i="56" s="1"/>
  <c r="I89" i="56"/>
  <c r="E16" i="56" s="1"/>
  <c r="H94" i="56"/>
  <c r="J89" i="56" l="1"/>
  <c r="J90" i="56"/>
  <c r="R35" i="12" l="1"/>
  <c r="S35" i="12"/>
  <c r="I44" i="38"/>
  <c r="I45" i="38"/>
  <c r="F56" i="8"/>
  <c r="H56" i="8"/>
  <c r="F57" i="8"/>
  <c r="H57" i="8"/>
  <c r="F58" i="8"/>
  <c r="F59" i="8"/>
  <c r="H59" i="8"/>
  <c r="F60" i="8"/>
  <c r="H60" i="8"/>
  <c r="F61" i="8"/>
  <c r="H61" i="8"/>
  <c r="F62" i="8"/>
  <c r="F63" i="8"/>
  <c r="H63" i="8"/>
  <c r="F64" i="8"/>
  <c r="H64" i="8"/>
  <c r="F65" i="8"/>
  <c r="H65" i="8"/>
  <c r="F66" i="8"/>
  <c r="F67" i="8"/>
  <c r="I67" i="8"/>
  <c r="J67" i="8"/>
  <c r="G67" i="8"/>
  <c r="I55" i="8"/>
  <c r="J55" i="8"/>
  <c r="I56" i="8"/>
  <c r="I57" i="8"/>
  <c r="J57" i="8"/>
  <c r="I58" i="8"/>
  <c r="J58" i="8"/>
  <c r="I59" i="8"/>
  <c r="I60" i="8"/>
  <c r="I61" i="8"/>
  <c r="I62" i="8"/>
  <c r="J62" i="8"/>
  <c r="I63" i="8"/>
  <c r="J63" i="8"/>
  <c r="I64" i="8"/>
  <c r="I65" i="8"/>
  <c r="J65" i="8"/>
  <c r="I66" i="8"/>
  <c r="J66" i="8"/>
  <c r="J59" i="8"/>
  <c r="H58" i="8"/>
  <c r="H62" i="8"/>
  <c r="H66" i="8"/>
  <c r="G66" i="8"/>
  <c r="G65" i="8"/>
  <c r="J64" i="8"/>
  <c r="G64" i="8"/>
  <c r="G63" i="8"/>
  <c r="G62" i="8"/>
  <c r="J61" i="8"/>
  <c r="G61" i="8"/>
  <c r="J60" i="8"/>
  <c r="G60" i="8"/>
  <c r="G59" i="8"/>
  <c r="G58" i="8"/>
  <c r="G57" i="8"/>
  <c r="J56" i="8"/>
  <c r="G56" i="8"/>
  <c r="G55" i="8"/>
  <c r="F55" i="8"/>
  <c r="H55" i="8"/>
  <c r="H67" i="8"/>
  <c r="U56" i="8"/>
  <c r="U57" i="8"/>
  <c r="U58" i="8"/>
  <c r="U59" i="8"/>
  <c r="U55" i="8"/>
  <c r="S59" i="8"/>
  <c r="R59" i="8"/>
  <c r="S58" i="8"/>
  <c r="R58" i="8"/>
  <c r="S57" i="8"/>
  <c r="R57" i="8"/>
  <c r="S56" i="8"/>
  <c r="R56" i="8"/>
  <c r="T56" i="8"/>
  <c r="S55" i="8"/>
  <c r="R55" i="8"/>
  <c r="T57" i="8"/>
  <c r="V55" i="8"/>
  <c r="V59" i="8"/>
  <c r="T58" i="8"/>
  <c r="V56" i="8"/>
  <c r="V58" i="8"/>
  <c r="T55" i="8"/>
  <c r="V57" i="8"/>
  <c r="T59" i="8"/>
  <c r="G24" i="49"/>
  <c r="F24" i="49"/>
  <c r="D24" i="49"/>
  <c r="C24" i="49"/>
  <c r="M23" i="49"/>
  <c r="K23" i="49"/>
  <c r="O23" i="49"/>
  <c r="J23" i="49"/>
  <c r="N23" i="49"/>
  <c r="E23" i="49"/>
  <c r="R22" i="49"/>
  <c r="U22" i="49"/>
  <c r="M22" i="49"/>
  <c r="K22" i="49"/>
  <c r="O22" i="49"/>
  <c r="J22" i="49"/>
  <c r="L22" i="49"/>
  <c r="E22" i="49"/>
  <c r="Q21" i="49"/>
  <c r="T21" i="49"/>
  <c r="M21" i="49"/>
  <c r="K21" i="49"/>
  <c r="O21" i="49"/>
  <c r="J21" i="49"/>
  <c r="N21" i="49"/>
  <c r="E21" i="49"/>
  <c r="M20" i="49"/>
  <c r="K20" i="49"/>
  <c r="O20" i="49"/>
  <c r="J20" i="49"/>
  <c r="Q20" i="49"/>
  <c r="T20" i="49"/>
  <c r="E20" i="49"/>
  <c r="Q19" i="49"/>
  <c r="T19" i="49"/>
  <c r="M19" i="49"/>
  <c r="K19" i="49"/>
  <c r="O19" i="49"/>
  <c r="J19" i="49"/>
  <c r="N19" i="49"/>
  <c r="P19" i="49"/>
  <c r="E19" i="49"/>
  <c r="Q18" i="49"/>
  <c r="T18" i="49"/>
  <c r="M18" i="49"/>
  <c r="K18" i="49"/>
  <c r="O18" i="49"/>
  <c r="J18" i="49"/>
  <c r="L18" i="49"/>
  <c r="E18" i="49"/>
  <c r="M17" i="49"/>
  <c r="K17" i="49"/>
  <c r="O17" i="49"/>
  <c r="J17" i="49"/>
  <c r="N17" i="49"/>
  <c r="P17" i="49"/>
  <c r="E17" i="49"/>
  <c r="R16" i="49"/>
  <c r="U16" i="49"/>
  <c r="Q16" i="49"/>
  <c r="T16" i="49"/>
  <c r="M16" i="49"/>
  <c r="K16" i="49"/>
  <c r="O16" i="49"/>
  <c r="J16" i="49"/>
  <c r="L16" i="49"/>
  <c r="E16" i="49"/>
  <c r="M15" i="49"/>
  <c r="K15" i="49"/>
  <c r="R15" i="49"/>
  <c r="J15" i="49"/>
  <c r="N15" i="49"/>
  <c r="E15" i="49"/>
  <c r="M14" i="49"/>
  <c r="K14" i="49"/>
  <c r="O14" i="49"/>
  <c r="J14" i="49"/>
  <c r="N14" i="49"/>
  <c r="E14" i="49"/>
  <c r="Q13" i="49"/>
  <c r="T13" i="49"/>
  <c r="M13" i="49"/>
  <c r="K13" i="49"/>
  <c r="J13" i="49"/>
  <c r="N13" i="49"/>
  <c r="E13" i="49"/>
  <c r="Q12" i="49"/>
  <c r="M12" i="49"/>
  <c r="M24" i="49"/>
  <c r="K12" i="49"/>
  <c r="R12" i="49"/>
  <c r="U12" i="49"/>
  <c r="J12" i="49"/>
  <c r="N12" i="49"/>
  <c r="E12" i="49"/>
  <c r="N66" i="35"/>
  <c r="B18" i="12"/>
  <c r="B19" i="12"/>
  <c r="C20" i="9"/>
  <c r="B20" i="12"/>
  <c r="C21" i="9"/>
  <c r="B21" i="12"/>
  <c r="C22" i="9"/>
  <c r="B22" i="12"/>
  <c r="B23" i="12"/>
  <c r="C23" i="9"/>
  <c r="C11" i="9"/>
  <c r="T51" i="12"/>
  <c r="AR88" i="35"/>
  <c r="AQ88" i="35"/>
  <c r="AM88" i="35"/>
  <c r="AJ88" i="35"/>
  <c r="AI88" i="35"/>
  <c r="AF88" i="35"/>
  <c r="AE88" i="35"/>
  <c r="P88" i="35"/>
  <c r="AN88" i="35"/>
  <c r="N88" i="35"/>
  <c r="AL88" i="35"/>
  <c r="AP88" i="35"/>
  <c r="P87" i="35"/>
  <c r="N87" i="35"/>
  <c r="M87" i="35"/>
  <c r="P86" i="35"/>
  <c r="N86" i="35"/>
  <c r="M86" i="35"/>
  <c r="P85" i="35"/>
  <c r="M85" i="35"/>
  <c r="P84" i="35"/>
  <c r="N84" i="35"/>
  <c r="M84" i="35"/>
  <c r="P83" i="35"/>
  <c r="N83" i="35"/>
  <c r="M83" i="35"/>
  <c r="P82" i="35"/>
  <c r="N82" i="35"/>
  <c r="M82" i="35"/>
  <c r="P81" i="35"/>
  <c r="M81" i="35"/>
  <c r="P80" i="35"/>
  <c r="M80" i="35"/>
  <c r="P79" i="35"/>
  <c r="N79" i="35"/>
  <c r="M79" i="35"/>
  <c r="P78" i="35"/>
  <c r="N78" i="35"/>
  <c r="M78" i="35"/>
  <c r="P77" i="35"/>
  <c r="M77" i="35"/>
  <c r="P76" i="35"/>
  <c r="M76" i="35"/>
  <c r="P75" i="35"/>
  <c r="M75" i="35"/>
  <c r="N75" i="35"/>
  <c r="P74" i="35"/>
  <c r="M74" i="35"/>
  <c r="N74" i="35"/>
  <c r="P73" i="35"/>
  <c r="M73" i="35"/>
  <c r="N73" i="35"/>
  <c r="P67" i="35"/>
  <c r="N67" i="35"/>
  <c r="P66" i="35"/>
  <c r="M66" i="35"/>
  <c r="P65" i="35"/>
  <c r="M65" i="35"/>
  <c r="N65" i="35"/>
  <c r="P64" i="35"/>
  <c r="M64" i="35"/>
  <c r="N64" i="35"/>
  <c r="P63" i="35"/>
  <c r="M63" i="35"/>
  <c r="N63" i="35"/>
  <c r="P62" i="35"/>
  <c r="N62" i="35"/>
  <c r="M62" i="35"/>
  <c r="P61" i="35"/>
  <c r="M61" i="35"/>
  <c r="N61" i="35"/>
  <c r="P60" i="35"/>
  <c r="M60" i="35"/>
  <c r="P59" i="35"/>
  <c r="M59" i="35"/>
  <c r="P58" i="35"/>
  <c r="N58" i="35"/>
  <c r="M58" i="35"/>
  <c r="P57" i="35"/>
  <c r="N57" i="35"/>
  <c r="M57" i="35"/>
  <c r="P56" i="35"/>
  <c r="M56" i="35"/>
  <c r="N56" i="35"/>
  <c r="P55" i="35"/>
  <c r="N55" i="35"/>
  <c r="M55" i="35"/>
  <c r="P54" i="35"/>
  <c r="M54" i="35"/>
  <c r="P53" i="35"/>
  <c r="M53" i="35"/>
  <c r="P52" i="35"/>
  <c r="M52" i="35"/>
  <c r="P24" i="35"/>
  <c r="N24" i="35"/>
  <c r="P23" i="35"/>
  <c r="M23" i="35"/>
  <c r="P22" i="35"/>
  <c r="M22" i="35"/>
  <c r="P21" i="35"/>
  <c r="M21" i="35"/>
  <c r="P20" i="35"/>
  <c r="M20" i="35"/>
  <c r="P19" i="35"/>
  <c r="M19" i="35"/>
  <c r="P18" i="35"/>
  <c r="M18" i="35"/>
  <c r="P17" i="35"/>
  <c r="M17" i="35"/>
  <c r="P16" i="35"/>
  <c r="M16" i="35"/>
  <c r="P15" i="35"/>
  <c r="M15" i="35"/>
  <c r="P14" i="35"/>
  <c r="N14" i="35"/>
  <c r="M14" i="35"/>
  <c r="P13" i="35"/>
  <c r="M13" i="35"/>
  <c r="P12" i="35"/>
  <c r="M12" i="35"/>
  <c r="P11" i="35"/>
  <c r="N11" i="35"/>
  <c r="M11" i="35"/>
  <c r="P10" i="35"/>
  <c r="M10" i="35"/>
  <c r="P9" i="35"/>
  <c r="N9" i="35"/>
  <c r="M9" i="35"/>
  <c r="V20" i="49"/>
  <c r="L13" i="49"/>
  <c r="Q14" i="49"/>
  <c r="T14" i="49"/>
  <c r="Q15" i="49"/>
  <c r="T15" i="49"/>
  <c r="V15" i="49"/>
  <c r="R18" i="49"/>
  <c r="U18" i="49"/>
  <c r="V18" i="49"/>
  <c r="Q23" i="49"/>
  <c r="T23" i="49"/>
  <c r="V16" i="49"/>
  <c r="E24" i="49"/>
  <c r="K24" i="49"/>
  <c r="R14" i="49"/>
  <c r="U14" i="49"/>
  <c r="Q17" i="49"/>
  <c r="T17" i="49"/>
  <c r="L20" i="49"/>
  <c r="R20" i="49"/>
  <c r="U20" i="49"/>
  <c r="Q22" i="49"/>
  <c r="T22" i="49"/>
  <c r="V22" i="49"/>
  <c r="U15" i="49"/>
  <c r="P21" i="49"/>
  <c r="P14" i="49"/>
  <c r="P23" i="49"/>
  <c r="O13" i="49"/>
  <c r="P13" i="49"/>
  <c r="O15" i="49"/>
  <c r="P15" i="49"/>
  <c r="L15" i="49"/>
  <c r="N16" i="49"/>
  <c r="P16" i="49"/>
  <c r="L17" i="49"/>
  <c r="N18" i="49"/>
  <c r="P18" i="49"/>
  <c r="L19" i="49"/>
  <c r="N20" i="49"/>
  <c r="P20" i="49"/>
  <c r="L21" i="49"/>
  <c r="N22" i="49"/>
  <c r="P22" i="49"/>
  <c r="L23" i="49"/>
  <c r="J24" i="49"/>
  <c r="O12" i="49"/>
  <c r="P12" i="49"/>
  <c r="S12" i="49"/>
  <c r="S16" i="49"/>
  <c r="S18" i="49"/>
  <c r="S20" i="49"/>
  <c r="L12" i="49"/>
  <c r="T12" i="49"/>
  <c r="R13" i="49"/>
  <c r="L14" i="49"/>
  <c r="R17" i="49"/>
  <c r="R19" i="49"/>
  <c r="R21" i="49"/>
  <c r="R23" i="49"/>
  <c r="N15" i="35"/>
  <c r="N17" i="35"/>
  <c r="N19" i="35"/>
  <c r="N21" i="35"/>
  <c r="N23" i="35"/>
  <c r="N54" i="35"/>
  <c r="N59" i="35"/>
  <c r="N76" i="35"/>
  <c r="N80" i="35"/>
  <c r="N53" i="35"/>
  <c r="N10" i="35"/>
  <c r="N12" i="35"/>
  <c r="N13" i="35"/>
  <c r="N16" i="35"/>
  <c r="N18" i="35"/>
  <c r="N20" i="35"/>
  <c r="N22" i="35"/>
  <c r="N52" i="35"/>
  <c r="N60" i="35"/>
  <c r="N77" i="35"/>
  <c r="N81" i="35"/>
  <c r="N85" i="35"/>
  <c r="AC88" i="35"/>
  <c r="AG88" i="35"/>
  <c r="AK88" i="35"/>
  <c r="AO88" i="35"/>
  <c r="AD88" i="35"/>
  <c r="AH88" i="35"/>
  <c r="R24" i="49"/>
  <c r="V14" i="49"/>
  <c r="S22" i="49"/>
  <c r="S14" i="49"/>
  <c r="S24" i="49"/>
  <c r="S15" i="49"/>
  <c r="Q24" i="49"/>
  <c r="P24" i="49"/>
  <c r="S21" i="49"/>
  <c r="U21" i="49"/>
  <c r="V21" i="49"/>
  <c r="S23" i="49"/>
  <c r="U23" i="49"/>
  <c r="V23" i="49"/>
  <c r="U13" i="49"/>
  <c r="S13" i="49"/>
  <c r="S19" i="49"/>
  <c r="U19" i="49"/>
  <c r="V19" i="49"/>
  <c r="V12" i="49"/>
  <c r="T24" i="49"/>
  <c r="O24" i="49"/>
  <c r="S17" i="49"/>
  <c r="U17" i="49"/>
  <c r="V17" i="49"/>
  <c r="L24" i="49"/>
  <c r="N24" i="49"/>
  <c r="K34" i="12"/>
  <c r="AA3" i="9"/>
  <c r="B42" i="12"/>
  <c r="B9" i="12"/>
  <c r="B11" i="12"/>
  <c r="B12" i="12"/>
  <c r="B13" i="12"/>
  <c r="B14" i="12"/>
  <c r="B15" i="12"/>
  <c r="B16" i="12"/>
  <c r="B17" i="12"/>
  <c r="B8" i="12"/>
  <c r="E5" i="38"/>
  <c r="E6" i="38" s="1"/>
  <c r="V13" i="49"/>
  <c r="V24" i="49"/>
  <c r="U24" i="49"/>
  <c r="E7" i="38"/>
  <c r="Q37" i="26"/>
  <c r="P37" i="26"/>
  <c r="O37" i="26"/>
  <c r="P36" i="26"/>
  <c r="Q36" i="26"/>
  <c r="O36" i="26"/>
  <c r="P35" i="26"/>
  <c r="O35" i="26"/>
  <c r="Q35" i="26"/>
  <c r="P34" i="26"/>
  <c r="O34" i="26"/>
  <c r="Q34" i="26"/>
  <c r="Q33" i="26"/>
  <c r="P33" i="26"/>
  <c r="O33" i="26"/>
  <c r="P32" i="26"/>
  <c r="Q32" i="26"/>
  <c r="O32" i="26"/>
  <c r="D32" i="26"/>
  <c r="C32" i="26"/>
  <c r="E32" i="26"/>
  <c r="P31" i="26"/>
  <c r="O31" i="26"/>
  <c r="Q31" i="26"/>
  <c r="E31" i="26"/>
  <c r="D31" i="26"/>
  <c r="C31" i="26"/>
  <c r="P30" i="26"/>
  <c r="Q30" i="26"/>
  <c r="O30" i="26"/>
  <c r="D30" i="26"/>
  <c r="C30" i="26"/>
  <c r="E30" i="26"/>
  <c r="P29" i="26"/>
  <c r="O29" i="26"/>
  <c r="Q29" i="26"/>
  <c r="E29" i="26"/>
  <c r="D29" i="26"/>
  <c r="C29" i="26"/>
  <c r="P28" i="26"/>
  <c r="Q28" i="26"/>
  <c r="O28" i="26"/>
  <c r="D28" i="26"/>
  <c r="C28" i="26"/>
  <c r="E28" i="26"/>
  <c r="P27" i="26"/>
  <c r="O27" i="26"/>
  <c r="Q27" i="26"/>
  <c r="E27" i="26"/>
  <c r="D27" i="26"/>
  <c r="C27" i="26"/>
  <c r="P26" i="26"/>
  <c r="Q26" i="26"/>
  <c r="O26" i="26"/>
  <c r="D26" i="26"/>
  <c r="C26" i="26"/>
  <c r="E26" i="26"/>
  <c r="P25" i="26"/>
  <c r="O25" i="26"/>
  <c r="Q25" i="26"/>
  <c r="E25" i="26"/>
  <c r="D25" i="26"/>
  <c r="C25" i="26"/>
  <c r="P24" i="26"/>
  <c r="Q24" i="26"/>
  <c r="O24" i="26"/>
  <c r="D24" i="26"/>
  <c r="C24" i="26"/>
  <c r="E24" i="26"/>
  <c r="P23" i="26"/>
  <c r="O23" i="26"/>
  <c r="Q23" i="26"/>
  <c r="E23" i="26"/>
  <c r="D23" i="26"/>
  <c r="C23" i="26"/>
  <c r="P22" i="26"/>
  <c r="Q22" i="26"/>
  <c r="O22" i="26"/>
  <c r="D22" i="26"/>
  <c r="C22" i="26"/>
  <c r="E22" i="26"/>
  <c r="P21" i="26"/>
  <c r="O21" i="26"/>
  <c r="Q21" i="26"/>
  <c r="E21" i="26"/>
  <c r="D21" i="26"/>
  <c r="C21" i="26"/>
  <c r="P20" i="26"/>
  <c r="Q20" i="26"/>
  <c r="O20" i="26"/>
  <c r="D20" i="26"/>
  <c r="C20" i="26"/>
  <c r="E20" i="26"/>
  <c r="P19" i="26"/>
  <c r="O19" i="26"/>
  <c r="Q19" i="26"/>
  <c r="E19" i="26"/>
  <c r="D19" i="26"/>
  <c r="C19" i="26"/>
  <c r="O20" i="10"/>
  <c r="P20" i="10"/>
  <c r="O21" i="10"/>
  <c r="P21" i="10"/>
  <c r="O22" i="10"/>
  <c r="P22" i="10"/>
  <c r="O23" i="10"/>
  <c r="P23" i="10"/>
  <c r="O24" i="10"/>
  <c r="P24" i="10"/>
  <c r="O25" i="10"/>
  <c r="P25" i="10"/>
  <c r="O26" i="10"/>
  <c r="P26" i="10"/>
  <c r="O27" i="10"/>
  <c r="P27" i="10"/>
  <c r="O28" i="10"/>
  <c r="P28" i="10"/>
  <c r="O29" i="10"/>
  <c r="P29" i="10"/>
  <c r="O30" i="10"/>
  <c r="P30" i="10"/>
  <c r="O31" i="10"/>
  <c r="P31" i="10"/>
  <c r="O32" i="10"/>
  <c r="P32" i="10"/>
  <c r="O33" i="10"/>
  <c r="P33" i="10"/>
  <c r="O34" i="10"/>
  <c r="P34" i="10"/>
  <c r="O35" i="10"/>
  <c r="P35" i="10"/>
  <c r="Q35" i="10"/>
  <c r="O36" i="10"/>
  <c r="P36" i="10"/>
  <c r="O37" i="10"/>
  <c r="P37" i="10"/>
  <c r="P19" i="10"/>
  <c r="O19" i="10"/>
  <c r="Q19" i="10"/>
  <c r="P34" i="12"/>
  <c r="Q99" i="38"/>
  <c r="S12" i="8"/>
  <c r="Q31" i="10"/>
  <c r="Q27" i="10"/>
  <c r="Q23" i="10"/>
  <c r="Q37" i="10"/>
  <c r="Q33" i="10"/>
  <c r="Q29" i="10"/>
  <c r="Q25" i="10"/>
  <c r="Q21" i="10"/>
  <c r="Q36" i="10"/>
  <c r="Q34" i="10"/>
  <c r="Q32" i="10"/>
  <c r="Q30" i="10"/>
  <c r="Q28" i="10"/>
  <c r="Q26" i="10"/>
  <c r="Q24" i="10"/>
  <c r="Q22" i="10"/>
  <c r="Q20" i="10"/>
  <c r="V30" i="15"/>
  <c r="L30" i="15"/>
  <c r="M30" i="15"/>
  <c r="N30" i="15"/>
  <c r="O30" i="15"/>
  <c r="P30" i="15"/>
  <c r="Q30" i="15"/>
  <c r="R30" i="15"/>
  <c r="S30" i="15"/>
  <c r="T30" i="15"/>
  <c r="U30" i="15"/>
  <c r="K30" i="15"/>
  <c r="H31" i="15"/>
  <c r="G31" i="15"/>
  <c r="F31" i="15"/>
  <c r="K31" i="12"/>
  <c r="C9" i="9"/>
  <c r="C12" i="9"/>
  <c r="I31" i="15"/>
  <c r="C10" i="9"/>
  <c r="K38" i="12"/>
  <c r="L38" i="12"/>
  <c r="K41" i="12"/>
  <c r="L41" i="12"/>
  <c r="K48" i="12"/>
  <c r="L48" i="12"/>
  <c r="C19" i="9"/>
  <c r="C24" i="9"/>
  <c r="K39" i="12"/>
  <c r="L39" i="12"/>
  <c r="K44" i="12"/>
  <c r="L44" i="12"/>
  <c r="C15" i="9"/>
  <c r="K40" i="12"/>
  <c r="L40" i="12"/>
  <c r="K49" i="12"/>
  <c r="L49" i="12"/>
  <c r="K45" i="12"/>
  <c r="L45" i="12"/>
  <c r="C16" i="9"/>
  <c r="K43" i="12"/>
  <c r="L43" i="12"/>
  <c r="C14" i="9"/>
  <c r="K46" i="12"/>
  <c r="L46" i="12"/>
  <c r="C17" i="9"/>
  <c r="AT17" i="9" s="1"/>
  <c r="K42" i="12"/>
  <c r="L42" i="12"/>
  <c r="C13" i="9"/>
  <c r="AU13" i="9" s="1"/>
  <c r="K47" i="12"/>
  <c r="L47" i="12"/>
  <c r="C18" i="9"/>
  <c r="P83" i="17"/>
  <c r="N83" i="17"/>
  <c r="P82" i="17"/>
  <c r="M82" i="17"/>
  <c r="N82" i="17"/>
  <c r="P81" i="17"/>
  <c r="M81" i="17"/>
  <c r="N81" i="17"/>
  <c r="P80" i="17"/>
  <c r="N80" i="17"/>
  <c r="M80" i="17"/>
  <c r="P79" i="17"/>
  <c r="M79" i="17"/>
  <c r="N79" i="17"/>
  <c r="P78" i="17"/>
  <c r="M78" i="17"/>
  <c r="N78" i="17"/>
  <c r="P77" i="17"/>
  <c r="N77" i="17"/>
  <c r="M77" i="17"/>
  <c r="P76" i="17"/>
  <c r="M76" i="17"/>
  <c r="N76" i="17"/>
  <c r="P75" i="17"/>
  <c r="M75" i="17"/>
  <c r="N75" i="17"/>
  <c r="P74" i="17"/>
  <c r="N74" i="17"/>
  <c r="M74" i="17"/>
  <c r="P73" i="17"/>
  <c r="M73" i="17"/>
  <c r="N73" i="17"/>
  <c r="P72" i="17"/>
  <c r="M72" i="17"/>
  <c r="N72" i="17"/>
  <c r="P71" i="17"/>
  <c r="M71" i="17"/>
  <c r="N71" i="17"/>
  <c r="P70" i="17"/>
  <c r="N70" i="17"/>
  <c r="M70" i="17"/>
  <c r="P69" i="17"/>
  <c r="M69" i="17"/>
  <c r="N69" i="17"/>
  <c r="P68" i="17"/>
  <c r="M68" i="17"/>
  <c r="N68" i="17"/>
  <c r="P62" i="17"/>
  <c r="N62" i="17"/>
  <c r="P61" i="17"/>
  <c r="M61" i="17"/>
  <c r="N61" i="17"/>
  <c r="P60" i="17"/>
  <c r="M60" i="17"/>
  <c r="N60" i="17"/>
  <c r="P59" i="17"/>
  <c r="N59" i="17"/>
  <c r="M59" i="17"/>
  <c r="P58" i="17"/>
  <c r="M58" i="17"/>
  <c r="N58" i="17"/>
  <c r="P57" i="17"/>
  <c r="M57" i="17"/>
  <c r="N57" i="17"/>
  <c r="P56" i="17"/>
  <c r="M56" i="17"/>
  <c r="P55" i="17"/>
  <c r="M55" i="17"/>
  <c r="N55" i="17"/>
  <c r="P54" i="17"/>
  <c r="M54" i="17"/>
  <c r="N54" i="17"/>
  <c r="P53" i="17"/>
  <c r="M53" i="17"/>
  <c r="N53" i="17"/>
  <c r="P52" i="17"/>
  <c r="M52" i="17"/>
  <c r="N52" i="17"/>
  <c r="P51" i="17"/>
  <c r="M51" i="17"/>
  <c r="N51" i="17"/>
  <c r="P50" i="17"/>
  <c r="M50" i="17"/>
  <c r="P49" i="17"/>
  <c r="M49" i="17"/>
  <c r="N49" i="17"/>
  <c r="P48" i="17"/>
  <c r="M48" i="17"/>
  <c r="N48" i="17"/>
  <c r="P47" i="17"/>
  <c r="M47" i="17"/>
  <c r="N47" i="17"/>
  <c r="P19" i="17"/>
  <c r="N19" i="17"/>
  <c r="P18" i="17"/>
  <c r="M18" i="17"/>
  <c r="N18" i="17"/>
  <c r="P17" i="17"/>
  <c r="M17" i="17"/>
  <c r="N17" i="17"/>
  <c r="P16" i="17"/>
  <c r="M16" i="17"/>
  <c r="N16" i="17"/>
  <c r="P15" i="17"/>
  <c r="M15" i="17"/>
  <c r="N15" i="17"/>
  <c r="P14" i="17"/>
  <c r="N14" i="17"/>
  <c r="M14" i="17"/>
  <c r="P13" i="17"/>
  <c r="M13" i="17"/>
  <c r="N13" i="17"/>
  <c r="P12" i="17"/>
  <c r="M12" i="17"/>
  <c r="P11" i="17"/>
  <c r="M11" i="17"/>
  <c r="P10" i="17"/>
  <c r="M10" i="17"/>
  <c r="N10" i="17"/>
  <c r="P9" i="17"/>
  <c r="M9" i="17"/>
  <c r="N9" i="17"/>
  <c r="P8" i="17"/>
  <c r="M8" i="17"/>
  <c r="N8" i="17"/>
  <c r="P7" i="17"/>
  <c r="M7" i="17"/>
  <c r="N7" i="17"/>
  <c r="P6" i="17"/>
  <c r="N6" i="17"/>
  <c r="M6" i="17"/>
  <c r="P5" i="17"/>
  <c r="M5" i="17"/>
  <c r="N5" i="17"/>
  <c r="P4" i="17"/>
  <c r="M4" i="17"/>
  <c r="N4" i="17"/>
  <c r="K51" i="12"/>
  <c r="N56" i="17"/>
  <c r="N11" i="17"/>
  <c r="N12" i="17"/>
  <c r="N50" i="17"/>
  <c r="E2" i="9"/>
  <c r="F2" i="9" s="1"/>
  <c r="X10" i="9"/>
  <c r="X14" i="9"/>
  <c r="X18" i="9"/>
  <c r="X22" i="9"/>
  <c r="AF2" i="9"/>
  <c r="AI2" i="9" s="1"/>
  <c r="X17" i="9"/>
  <c r="X21" i="9"/>
  <c r="M35" i="12"/>
  <c r="N35" i="12" s="1"/>
  <c r="X11" i="9"/>
  <c r="X15" i="9"/>
  <c r="X19" i="9"/>
  <c r="X23" i="9"/>
  <c r="X12" i="9"/>
  <c r="X16" i="9"/>
  <c r="X20" i="9"/>
  <c r="X24" i="9"/>
  <c r="X13" i="9"/>
  <c r="X9" i="9"/>
  <c r="U25" i="15"/>
  <c r="V25" i="15"/>
  <c r="P25" i="15"/>
  <c r="Q25" i="15"/>
  <c r="R25" i="15"/>
  <c r="S25" i="15"/>
  <c r="T25" i="15"/>
  <c r="B24" i="12"/>
  <c r="L25" i="15"/>
  <c r="M25" i="15"/>
  <c r="N25" i="15"/>
  <c r="O25" i="15"/>
  <c r="K25" i="15"/>
  <c r="C25" i="15"/>
  <c r="E25" i="15"/>
  <c r="D25" i="15"/>
  <c r="D20" i="10"/>
  <c r="D21" i="10"/>
  <c r="D22" i="10"/>
  <c r="D23" i="10"/>
  <c r="D24" i="10"/>
  <c r="D25" i="10"/>
  <c r="D26" i="10"/>
  <c r="D27" i="10"/>
  <c r="D28" i="10"/>
  <c r="D29" i="10"/>
  <c r="D30" i="10"/>
  <c r="D31" i="10"/>
  <c r="D32" i="10"/>
  <c r="D19" i="10"/>
  <c r="C20" i="10"/>
  <c r="C21" i="10"/>
  <c r="C22" i="10"/>
  <c r="E22" i="10"/>
  <c r="C23" i="10"/>
  <c r="E23" i="10"/>
  <c r="C24" i="10"/>
  <c r="C25" i="10"/>
  <c r="C26" i="10"/>
  <c r="E26" i="10"/>
  <c r="C27" i="10"/>
  <c r="E27" i="10"/>
  <c r="C28" i="10"/>
  <c r="C29" i="10"/>
  <c r="C30" i="10"/>
  <c r="E30" i="10"/>
  <c r="C31" i="10"/>
  <c r="E31" i="10"/>
  <c r="C32" i="10"/>
  <c r="C19" i="10"/>
  <c r="E2" i="35"/>
  <c r="X20" i="35" s="1"/>
  <c r="T35" i="12"/>
  <c r="AC24" i="9"/>
  <c r="AB24" i="9"/>
  <c r="E32" i="10"/>
  <c r="E28" i="10"/>
  <c r="E24" i="10"/>
  <c r="E20" i="10"/>
  <c r="E19" i="10"/>
  <c r="E29" i="10"/>
  <c r="E21" i="10"/>
  <c r="E25" i="10"/>
  <c r="L51" i="12"/>
  <c r="AD24" i="9"/>
  <c r="S15" i="8"/>
  <c r="BD12" i="9"/>
  <c r="BB9" i="9"/>
  <c r="P88" i="9"/>
  <c r="N88" i="9"/>
  <c r="P87" i="9"/>
  <c r="M87" i="9"/>
  <c r="N87" i="9"/>
  <c r="P86" i="9"/>
  <c r="M86" i="9"/>
  <c r="N86" i="9"/>
  <c r="P85" i="9"/>
  <c r="M85" i="9"/>
  <c r="N85" i="9"/>
  <c r="P84" i="9"/>
  <c r="M84" i="9"/>
  <c r="P83" i="9"/>
  <c r="M83" i="9"/>
  <c r="P82" i="9"/>
  <c r="M82" i="9"/>
  <c r="N82" i="9"/>
  <c r="P81" i="9"/>
  <c r="M81" i="9"/>
  <c r="P80" i="9"/>
  <c r="M80" i="9"/>
  <c r="P79" i="9"/>
  <c r="M79" i="9"/>
  <c r="P78" i="9"/>
  <c r="M78" i="9"/>
  <c r="N78" i="9"/>
  <c r="P77" i="9"/>
  <c r="M77" i="9"/>
  <c r="N77" i="9"/>
  <c r="P76" i="9"/>
  <c r="M76" i="9"/>
  <c r="N76" i="9"/>
  <c r="P75" i="9"/>
  <c r="M75" i="9"/>
  <c r="N75" i="9"/>
  <c r="P74" i="9"/>
  <c r="M74" i="9"/>
  <c r="N74" i="9"/>
  <c r="P73" i="9"/>
  <c r="M73" i="9"/>
  <c r="N73" i="9"/>
  <c r="P67" i="9"/>
  <c r="N67" i="9"/>
  <c r="P66" i="9"/>
  <c r="M66" i="9"/>
  <c r="P65" i="9"/>
  <c r="M65" i="9"/>
  <c r="P64" i="9"/>
  <c r="M64" i="9"/>
  <c r="N64" i="9"/>
  <c r="P63" i="9"/>
  <c r="M63" i="9"/>
  <c r="N63" i="9"/>
  <c r="P62" i="9"/>
  <c r="M62" i="9"/>
  <c r="N62" i="9"/>
  <c r="P61" i="9"/>
  <c r="M61" i="9"/>
  <c r="P60" i="9"/>
  <c r="M60" i="9"/>
  <c r="P59" i="9"/>
  <c r="M59" i="9"/>
  <c r="N59" i="9"/>
  <c r="P58" i="9"/>
  <c r="M58" i="9"/>
  <c r="P57" i="9"/>
  <c r="M57" i="9"/>
  <c r="N57" i="9"/>
  <c r="P56" i="9"/>
  <c r="M56" i="9"/>
  <c r="N56" i="9"/>
  <c r="P55" i="9"/>
  <c r="M55" i="9"/>
  <c r="P54" i="9"/>
  <c r="M54" i="9"/>
  <c r="N54" i="9"/>
  <c r="P53" i="9"/>
  <c r="M53" i="9"/>
  <c r="N53" i="9"/>
  <c r="P52" i="9"/>
  <c r="M52" i="9"/>
  <c r="N52" i="9"/>
  <c r="P24" i="9"/>
  <c r="N24" i="9"/>
  <c r="BD23" i="9"/>
  <c r="BC23" i="9"/>
  <c r="BB23" i="9"/>
  <c r="BA23" i="9"/>
  <c r="AY23" i="9"/>
  <c r="AV23" i="9"/>
  <c r="AU23" i="9"/>
  <c r="AT23" i="9"/>
  <c r="AS23" i="9"/>
  <c r="AR23" i="9"/>
  <c r="AQ23" i="9"/>
  <c r="AP23" i="9"/>
  <c r="AO23" i="9"/>
  <c r="P23" i="9"/>
  <c r="AZ23" i="9"/>
  <c r="BE23" i="9" s="1"/>
  <c r="M23" i="9"/>
  <c r="AW23" i="9"/>
  <c r="BD22" i="9"/>
  <c r="BB22" i="9"/>
  <c r="BA22" i="9"/>
  <c r="AY22" i="9"/>
  <c r="AU22" i="9"/>
  <c r="AT22" i="9"/>
  <c r="AS22" i="9"/>
  <c r="AQ22" i="9"/>
  <c r="AP22" i="9"/>
  <c r="AO22" i="9"/>
  <c r="P22" i="9"/>
  <c r="AZ22" i="9"/>
  <c r="BE22" i="9"/>
  <c r="M22" i="9"/>
  <c r="BD21" i="9"/>
  <c r="BC21" i="9"/>
  <c r="BB21" i="9"/>
  <c r="BA21" i="9"/>
  <c r="AY21" i="9"/>
  <c r="AV21" i="9"/>
  <c r="AU21" i="9"/>
  <c r="AT21" i="9"/>
  <c r="AS21" i="9"/>
  <c r="AR21" i="9"/>
  <c r="AQ21" i="9"/>
  <c r="AP21" i="9"/>
  <c r="AO21" i="9"/>
  <c r="P21" i="9"/>
  <c r="AZ21" i="9"/>
  <c r="BE21" i="9" s="1"/>
  <c r="M21" i="9"/>
  <c r="AW21" i="9"/>
  <c r="BD20" i="9"/>
  <c r="BB20" i="9"/>
  <c r="BA20" i="9"/>
  <c r="AY20" i="9"/>
  <c r="AU20" i="9"/>
  <c r="AT20" i="9"/>
  <c r="AS20" i="9"/>
  <c r="AQ20" i="9"/>
  <c r="AP20" i="9"/>
  <c r="AO20" i="9"/>
  <c r="P20" i="9"/>
  <c r="AZ20" i="9"/>
  <c r="BE20" i="9" s="1"/>
  <c r="M20" i="9"/>
  <c r="BD19" i="9"/>
  <c r="BC19" i="9"/>
  <c r="BB19" i="9"/>
  <c r="AY19" i="9"/>
  <c r="AV19" i="9"/>
  <c r="AU19" i="9"/>
  <c r="AS19" i="9"/>
  <c r="AR19" i="9"/>
  <c r="AQ19" i="9"/>
  <c r="AO19" i="9"/>
  <c r="P19" i="9"/>
  <c r="AZ19" i="9"/>
  <c r="BE19" i="9" s="1"/>
  <c r="M19" i="9"/>
  <c r="AW19" i="9"/>
  <c r="BB18" i="9"/>
  <c r="BA18" i="9"/>
  <c r="AT18" i="9"/>
  <c r="AS18" i="9"/>
  <c r="AP18" i="9"/>
  <c r="AO18" i="9"/>
  <c r="P18" i="9"/>
  <c r="M18" i="9"/>
  <c r="AW18" i="9"/>
  <c r="BB17" i="9"/>
  <c r="AY17" i="9"/>
  <c r="AS17" i="9"/>
  <c r="AO17" i="9"/>
  <c r="P17" i="9"/>
  <c r="AZ17" i="9"/>
  <c r="BE17" i="9" s="1"/>
  <c r="M17" i="9"/>
  <c r="AW17" i="9"/>
  <c r="AR16" i="9"/>
  <c r="P16" i="9"/>
  <c r="M16" i="9"/>
  <c r="AW16" i="9"/>
  <c r="P15" i="9"/>
  <c r="M15" i="9"/>
  <c r="N15" i="9"/>
  <c r="P14" i="9"/>
  <c r="M14" i="9"/>
  <c r="BA13" i="9"/>
  <c r="AP13" i="9"/>
  <c r="P13" i="9"/>
  <c r="M13" i="9"/>
  <c r="N13" i="9"/>
  <c r="BB12" i="9"/>
  <c r="P12" i="9"/>
  <c r="AZ12" i="9"/>
  <c r="BE12" i="9"/>
  <c r="M12" i="9"/>
  <c r="N12" i="9"/>
  <c r="P11" i="9"/>
  <c r="M11" i="9"/>
  <c r="N11" i="9"/>
  <c r="P10" i="9"/>
  <c r="M10" i="9"/>
  <c r="N10" i="9"/>
  <c r="BD9" i="9"/>
  <c r="BC9" i="9"/>
  <c r="AY9" i="9"/>
  <c r="AU9" i="9"/>
  <c r="AR9" i="9"/>
  <c r="AQ9" i="9"/>
  <c r="P9" i="9"/>
  <c r="M9" i="9"/>
  <c r="AW9" i="9"/>
  <c r="N17" i="9"/>
  <c r="N18" i="9"/>
  <c r="U18" i="9"/>
  <c r="N23" i="9"/>
  <c r="U23" i="9"/>
  <c r="N16" i="9"/>
  <c r="AX16" i="9"/>
  <c r="N22" i="9"/>
  <c r="N20" i="9"/>
  <c r="U20" i="9"/>
  <c r="N21" i="9"/>
  <c r="N9" i="9"/>
  <c r="AX9" i="9"/>
  <c r="N14" i="9"/>
  <c r="U14" i="9"/>
  <c r="N19" i="9"/>
  <c r="AP9" i="9"/>
  <c r="AV9" i="9"/>
  <c r="AY16" i="9"/>
  <c r="AR12" i="9"/>
  <c r="AZ16" i="9"/>
  <c r="BE16" i="9"/>
  <c r="BA15" i="9"/>
  <c r="U15" i="9"/>
  <c r="AT12" i="9"/>
  <c r="AV15" i="9"/>
  <c r="BC16" i="9"/>
  <c r="AR14" i="9"/>
  <c r="AX12" i="9"/>
  <c r="AY12" i="9"/>
  <c r="BC15" i="9"/>
  <c r="AQ16" i="9"/>
  <c r="AY13" i="9"/>
  <c r="U13" i="9"/>
  <c r="AW15" i="9"/>
  <c r="AX15" i="9"/>
  <c r="AR15" i="9"/>
  <c r="AY15" i="9"/>
  <c r="AQ15" i="9"/>
  <c r="BD15" i="9"/>
  <c r="AZ15" i="9"/>
  <c r="BE15" i="9" s="1"/>
  <c r="AS15" i="9"/>
  <c r="AW13" i="9"/>
  <c r="AP12" i="9"/>
  <c r="AU12" i="9"/>
  <c r="BC12" i="9"/>
  <c r="AZ13" i="9"/>
  <c r="BE13" i="9" s="1"/>
  <c r="AS13" i="9"/>
  <c r="AX13" i="9"/>
  <c r="BC13" i="9"/>
  <c r="AU16" i="9"/>
  <c r="AQ13" i="9"/>
  <c r="BB13" i="9"/>
  <c r="AW12" i="9"/>
  <c r="AQ12" i="9"/>
  <c r="AV12" i="9"/>
  <c r="AO13" i="9"/>
  <c r="AT13" i="9"/>
  <c r="AZ9" i="9"/>
  <c r="BE9" i="9"/>
  <c r="AT9" i="9"/>
  <c r="N60" i="9"/>
  <c r="N66" i="9"/>
  <c r="BC14" i="9"/>
  <c r="AU14" i="9"/>
  <c r="AQ14" i="9"/>
  <c r="AS14" i="9"/>
  <c r="N58" i="9"/>
  <c r="N61" i="9"/>
  <c r="AO14" i="9"/>
  <c r="AZ14" i="9"/>
  <c r="BE14" i="9"/>
  <c r="BB15" i="9"/>
  <c r="AT15" i="9"/>
  <c r="AP15" i="9"/>
  <c r="AO15" i="9"/>
  <c r="AU15" i="9"/>
  <c r="BB16" i="9"/>
  <c r="AT16" i="9"/>
  <c r="AP16" i="9"/>
  <c r="BA16" i="9"/>
  <c r="AS16" i="9"/>
  <c r="AO16" i="9"/>
  <c r="AV16" i="9"/>
  <c r="BD16" i="9"/>
  <c r="N55" i="9"/>
  <c r="N65" i="9"/>
  <c r="N79" i="9"/>
  <c r="AP14" i="9"/>
  <c r="BA14" i="9"/>
  <c r="AO9" i="9"/>
  <c r="AS9" i="9"/>
  <c r="BA9" i="9"/>
  <c r="AO12" i="9"/>
  <c r="AS12" i="9"/>
  <c r="BA12" i="9"/>
  <c r="AR13" i="9"/>
  <c r="AV13" i="9"/>
  <c r="BD13" i="9"/>
  <c r="AR17" i="9"/>
  <c r="AQ18" i="9"/>
  <c r="AU18" i="9"/>
  <c r="AY18" i="9"/>
  <c r="BC18" i="9"/>
  <c r="N80" i="9"/>
  <c r="N83" i="9"/>
  <c r="AR18" i="9"/>
  <c r="AV18" i="9"/>
  <c r="AZ18" i="9"/>
  <c r="BE18" i="9" s="1"/>
  <c r="BD18" i="9"/>
  <c r="N81" i="9"/>
  <c r="N84" i="9"/>
  <c r="AX18" i="9"/>
  <c r="AX14" i="9"/>
  <c r="AX17" i="9"/>
  <c r="U16" i="9"/>
  <c r="AX23" i="9"/>
  <c r="U22" i="9"/>
  <c r="AX22" i="9"/>
  <c r="U19" i="9"/>
  <c r="H5" i="10" s="1"/>
  <c r="AX19" i="9"/>
  <c r="AX21" i="9"/>
  <c r="U21" i="9"/>
  <c r="N43" i="9"/>
  <c r="N29" i="9"/>
  <c r="C19" i="17"/>
  <c r="AF88" i="9"/>
  <c r="AG88" i="9"/>
  <c r="AC88" i="9"/>
  <c r="AH88" i="9"/>
  <c r="AN88" i="9"/>
  <c r="AQ88" i="9"/>
  <c r="AM88" i="9"/>
  <c r="AP88" i="9"/>
  <c r="AR88" i="9"/>
  <c r="AI88" i="9"/>
  <c r="AO88" i="9"/>
  <c r="AK88" i="9"/>
  <c r="AL88" i="9"/>
  <c r="AD88" i="9"/>
  <c r="AJ88" i="9"/>
  <c r="AE88" i="9"/>
  <c r="AF67" i="9"/>
  <c r="AQ19" i="17"/>
  <c r="AK19" i="17"/>
  <c r="AF19" i="17"/>
  <c r="AM19" i="17"/>
  <c r="AO19" i="17"/>
  <c r="AJ19" i="17"/>
  <c r="AE19" i="17"/>
  <c r="AB40" i="17"/>
  <c r="AN19" i="17"/>
  <c r="AI19" i="17"/>
  <c r="AC19" i="17"/>
  <c r="AR19" i="17"/>
  <c r="AG19" i="17"/>
  <c r="AP19" i="17"/>
  <c r="AD19" i="17"/>
  <c r="AL19" i="17"/>
  <c r="AH19" i="17"/>
  <c r="AN67" i="9"/>
  <c r="AM67" i="9"/>
  <c r="C24" i="35"/>
  <c r="AR24" i="35" s="1"/>
  <c r="AE67" i="9"/>
  <c r="AH67" i="9"/>
  <c r="AJ67" i="9"/>
  <c r="AP67" i="9"/>
  <c r="AQ67" i="9"/>
  <c r="AO67" i="9"/>
  <c r="AG67" i="9"/>
  <c r="AK67" i="9"/>
  <c r="AC67" i="9"/>
  <c r="AD67" i="9"/>
  <c r="AR67" i="9"/>
  <c r="AL67" i="9"/>
  <c r="AI67" i="9"/>
  <c r="BC24" i="35"/>
  <c r="BA24" i="35"/>
  <c r="AC24" i="35"/>
  <c r="AD24" i="35"/>
  <c r="M51" i="12"/>
  <c r="AD21" i="35"/>
  <c r="AD22" i="35"/>
  <c r="AD23" i="35"/>
  <c r="X18" i="35" l="1"/>
  <c r="F2" i="35"/>
  <c r="AF2" i="35" s="1"/>
  <c r="AI2" i="35" s="1"/>
  <c r="X24" i="35"/>
  <c r="X11" i="35"/>
  <c r="X19" i="35"/>
  <c r="X15" i="35"/>
  <c r="X21" i="35"/>
  <c r="X14" i="35"/>
  <c r="C45" i="9"/>
  <c r="AZ24" i="9"/>
  <c r="BE24" i="9" s="1"/>
  <c r="AQ24" i="9"/>
  <c r="AP24" i="9"/>
  <c r="BB24" i="9"/>
  <c r="AX24" i="9"/>
  <c r="AO24" i="9"/>
  <c r="AT24" i="9"/>
  <c r="AS24" i="9"/>
  <c r="AY24" i="9"/>
  <c r="AV24" i="9"/>
  <c r="BC24" i="9"/>
  <c r="AU24" i="9"/>
  <c r="AW24" i="9"/>
  <c r="AV10" i="9"/>
  <c r="AU10" i="9"/>
  <c r="AX10" i="9"/>
  <c r="BA10" i="9"/>
  <c r="AW10" i="9"/>
  <c r="AO10" i="9"/>
  <c r="C25" i="9"/>
  <c r="G38" i="9" s="1"/>
  <c r="BD10" i="9"/>
  <c r="AZ10" i="9"/>
  <c r="AS10" i="9"/>
  <c r="AQ10" i="9"/>
  <c r="AP10" i="9"/>
  <c r="AP25" i="9" s="1"/>
  <c r="F25" i="9" s="1"/>
  <c r="AR10" i="9"/>
  <c r="AZ11" i="9"/>
  <c r="BE11" i="9" s="1"/>
  <c r="AQ11" i="9"/>
  <c r="AX11" i="9"/>
  <c r="AY11" i="9"/>
  <c r="BC11" i="9"/>
  <c r="AW11" i="9"/>
  <c r="AR11" i="9"/>
  <c r="BA11" i="9"/>
  <c r="AT11" i="9"/>
  <c r="AV11" i="9"/>
  <c r="BD11" i="9"/>
  <c r="AU11" i="9"/>
  <c r="AO11" i="9"/>
  <c r="AV24" i="35"/>
  <c r="AS11" i="9"/>
  <c r="AY10" i="9"/>
  <c r="AY25" i="9" s="1"/>
  <c r="BB11" i="9"/>
  <c r="BD24" i="9"/>
  <c r="AQ25" i="9"/>
  <c r="G25" i="9" s="1"/>
  <c r="BB10" i="9"/>
  <c r="BC10" i="9"/>
  <c r="BC25" i="9" s="1"/>
  <c r="S25" i="9" s="1"/>
  <c r="BA24" i="9"/>
  <c r="AP24" i="35"/>
  <c r="BB24" i="35"/>
  <c r="AS24" i="35"/>
  <c r="AZ24" i="35"/>
  <c r="BE24" i="35" s="1"/>
  <c r="AW24" i="35"/>
  <c r="AY24" i="35"/>
  <c r="AO24" i="35"/>
  <c r="AX24" i="35"/>
  <c r="AT24" i="35"/>
  <c r="AQ24" i="35"/>
  <c r="AU24" i="35"/>
  <c r="BD24" i="35"/>
  <c r="AT10" i="9"/>
  <c r="AT25" i="9" s="1"/>
  <c r="J25" i="9" s="1"/>
  <c r="AP11" i="9"/>
  <c r="AR24" i="9"/>
  <c r="X16" i="35"/>
  <c r="X23" i="35"/>
  <c r="X10" i="35"/>
  <c r="X22" i="35"/>
  <c r="X13" i="35"/>
  <c r="AW14" i="9"/>
  <c r="BB14" i="9"/>
  <c r="AY14" i="9"/>
  <c r="BD14" i="9"/>
  <c r="AT14" i="9"/>
  <c r="AV14" i="9"/>
  <c r="BA19" i="9"/>
  <c r="AT19" i="9"/>
  <c r="AP19" i="9"/>
  <c r="AO25" i="9"/>
  <c r="E25" i="9" s="1"/>
  <c r="BC17" i="9"/>
  <c r="AU17" i="9"/>
  <c r="AP17" i="9"/>
  <c r="U17" i="9"/>
  <c r="BD17" i="9"/>
  <c r="AV17" i="9"/>
  <c r="AQ17" i="9"/>
  <c r="BA17" i="9"/>
  <c r="BA25" i="9" s="1"/>
  <c r="Q25" i="9" s="1"/>
  <c r="X17" i="35"/>
  <c r="X9" i="35"/>
  <c r="X12" i="35"/>
  <c r="O28" i="38"/>
  <c r="I16" i="38" s="1"/>
  <c r="K99" i="38"/>
  <c r="BC22" i="9"/>
  <c r="AV22" i="9"/>
  <c r="AR22" i="9"/>
  <c r="AW22" i="9"/>
  <c r="BC20" i="9"/>
  <c r="AV20" i="9"/>
  <c r="AR20" i="9"/>
  <c r="AW20" i="9"/>
  <c r="AX20" i="9"/>
  <c r="L31" i="12"/>
  <c r="O35" i="12"/>
  <c r="P99" i="38"/>
  <c r="L99" i="38"/>
  <c r="R99" i="38"/>
  <c r="M99" i="38"/>
  <c r="S99" i="38"/>
  <c r="N99" i="38"/>
  <c r="I99" i="38"/>
  <c r="E8" i="38"/>
  <c r="E10" i="38" s="1"/>
  <c r="O99" i="38"/>
  <c r="J99" i="38"/>
  <c r="B27" i="12" l="1"/>
  <c r="L36" i="12" s="1"/>
  <c r="K36" i="12"/>
  <c r="AR25" i="9"/>
  <c r="H25" i="9" s="1"/>
  <c r="BE10" i="9"/>
  <c r="BE25" i="9" s="1"/>
  <c r="AL6" i="9" s="1"/>
  <c r="AZ25" i="9"/>
  <c r="AW25" i="9"/>
  <c r="M25" i="9" s="1"/>
  <c r="AU25" i="9"/>
  <c r="K25" i="9" s="1"/>
  <c r="AL3" i="9" s="1"/>
  <c r="BB25" i="9"/>
  <c r="R25" i="9" s="1"/>
  <c r="BD25" i="9"/>
  <c r="T25" i="9" s="1"/>
  <c r="AV25" i="9"/>
  <c r="L25" i="9" s="1"/>
  <c r="G5" i="10"/>
  <c r="B28" i="12"/>
  <c r="U25" i="9"/>
  <c r="AS25" i="9"/>
  <c r="I25" i="9" s="1"/>
  <c r="AX25" i="9"/>
  <c r="N25" i="9" s="1"/>
  <c r="E8" i="57"/>
  <c r="J101" i="38"/>
  <c r="I43" i="38"/>
  <c r="E9" i="38"/>
  <c r="I42" i="38"/>
  <c r="J100" i="38"/>
  <c r="K103" i="38" s="1"/>
  <c r="B26" i="12" l="1"/>
  <c r="L37" i="12" s="1"/>
  <c r="I37" i="23" s="1"/>
  <c r="K37" i="12"/>
  <c r="AF24" i="9"/>
  <c r="K32" i="12"/>
  <c r="L32" i="12" s="1"/>
  <c r="F10" i="10"/>
  <c r="F11" i="10"/>
  <c r="F13" i="10"/>
  <c r="F12" i="10"/>
  <c r="E14" i="57"/>
  <c r="E14" i="56"/>
  <c r="AG21" i="9"/>
  <c r="AG12" i="9"/>
  <c r="AG15" i="9"/>
  <c r="AG13" i="9"/>
  <c r="AG23" i="9"/>
  <c r="AG17" i="9"/>
  <c r="AG22" i="9"/>
  <c r="AG16" i="9"/>
  <c r="AG20" i="9"/>
  <c r="AG9" i="9"/>
  <c r="AG18" i="9"/>
  <c r="AG14" i="9"/>
  <c r="AG19" i="9"/>
  <c r="AG11" i="9"/>
  <c r="AG24" i="9"/>
  <c r="AG10" i="9"/>
  <c r="E16" i="38"/>
  <c r="N42" i="38"/>
  <c r="N44" i="38" s="1"/>
  <c r="K42" i="38"/>
  <c r="K44" i="38" s="1"/>
  <c r="L42" i="38"/>
  <c r="L44" i="38" s="1"/>
  <c r="P42" i="38"/>
  <c r="P44" i="38" s="1"/>
  <c r="O42" i="38"/>
  <c r="O44" i="38" s="1"/>
  <c r="M42" i="38"/>
  <c r="M44" i="38" s="1"/>
  <c r="E18" i="56" l="1"/>
  <c r="H87" i="56" s="1"/>
  <c r="E19" i="56"/>
  <c r="E25" i="56" s="1"/>
  <c r="L34" i="12" s="1"/>
  <c r="F14" i="10"/>
  <c r="F15" i="10" s="1"/>
  <c r="K53" i="12" s="1"/>
  <c r="L53" i="12" s="1"/>
  <c r="AG25" i="9"/>
  <c r="Q44" i="38"/>
  <c r="R44" i="38" s="1"/>
  <c r="S44" i="38" s="1"/>
  <c r="T44" i="38" s="1"/>
  <c r="T45" i="38" s="1"/>
  <c r="I57" i="38" s="1"/>
  <c r="E14" i="38" s="1"/>
  <c r="E5" i="58" l="1"/>
  <c r="B7" i="61"/>
  <c r="C51" i="61" s="1"/>
  <c r="E6" i="58"/>
  <c r="K103" i="58"/>
  <c r="E16" i="58" s="1"/>
  <c r="I57" i="58"/>
  <c r="E14" i="58" s="1"/>
  <c r="I18" i="58"/>
  <c r="I20" i="58" s="1"/>
  <c r="E20" i="56"/>
  <c r="I87" i="56"/>
  <c r="H88" i="56"/>
  <c r="I18" i="38"/>
  <c r="I20" i="38" s="1"/>
  <c r="K20" i="38" s="1"/>
  <c r="C57" i="61" l="1"/>
  <c r="L77" i="61"/>
  <c r="C56" i="61"/>
  <c r="K72" i="61" s="1"/>
  <c r="C20" i="61" s="1"/>
  <c r="L67" i="61"/>
  <c r="L74" i="61"/>
  <c r="L71" i="61"/>
  <c r="C58" i="61"/>
  <c r="L69" i="61"/>
  <c r="L68" i="61"/>
  <c r="L73" i="61"/>
  <c r="L75" i="61"/>
  <c r="L66" i="61"/>
  <c r="L72" i="61"/>
  <c r="L70" i="61"/>
  <c r="L76" i="61"/>
  <c r="K20" i="58"/>
  <c r="E15" i="58"/>
  <c r="L54" i="12" s="1"/>
  <c r="M34" i="12"/>
  <c r="N34" i="12" s="1"/>
  <c r="AF3" i="9"/>
  <c r="AF4" i="9" s="1"/>
  <c r="E3" i="9"/>
  <c r="S11" i="8"/>
  <c r="S13" i="8" s="1"/>
  <c r="S14" i="8" s="1"/>
  <c r="S16" i="8" s="1"/>
  <c r="O34" i="12"/>
  <c r="H89" i="56"/>
  <c r="H90" i="56" s="1"/>
  <c r="I88" i="56"/>
  <c r="E15" i="38"/>
  <c r="K54" i="12" s="1"/>
  <c r="K74" i="61" l="1"/>
  <c r="C22" i="61" s="1"/>
  <c r="K75" i="61"/>
  <c r="C23" i="61" s="1"/>
  <c r="K76" i="61"/>
  <c r="C24" i="61" s="1"/>
  <c r="AE96" i="61" s="1"/>
  <c r="K69" i="61"/>
  <c r="C17" i="61" s="1"/>
  <c r="AT89" i="61" s="1"/>
  <c r="K70" i="61"/>
  <c r="C18" i="61" s="1"/>
  <c r="K73" i="61"/>
  <c r="C21" i="61" s="1"/>
  <c r="K67" i="61"/>
  <c r="C15" i="61" s="1"/>
  <c r="AZ87" i="61" s="1"/>
  <c r="K66" i="61"/>
  <c r="C14" i="61" s="1"/>
  <c r="BB86" i="61" s="1"/>
  <c r="K71" i="61"/>
  <c r="C19" i="61" s="1"/>
  <c r="K68" i="61"/>
  <c r="C16" i="61" s="1"/>
  <c r="BO92" i="61"/>
  <c r="AY92" i="61"/>
  <c r="AI92" i="61"/>
  <c r="S92" i="61"/>
  <c r="C92" i="61"/>
  <c r="BB92" i="61"/>
  <c r="AP92" i="61"/>
  <c r="U92" i="61"/>
  <c r="BH92" i="61"/>
  <c r="AJ92" i="61"/>
  <c r="N92" i="61"/>
  <c r="AX92" i="61"/>
  <c r="H92" i="61"/>
  <c r="AB92" i="61"/>
  <c r="AS92" i="61"/>
  <c r="AG92" i="61"/>
  <c r="AR92" i="61"/>
  <c r="BG92" i="61"/>
  <c r="AM92" i="61"/>
  <c r="O92" i="61"/>
  <c r="BJ92" i="61"/>
  <c r="AV92" i="61"/>
  <c r="P92" i="61"/>
  <c r="AT92" i="61"/>
  <c r="T92" i="61"/>
  <c r="AN92" i="61"/>
  <c r="AW92" i="61"/>
  <c r="BE92" i="61"/>
  <c r="V92" i="61"/>
  <c r="BC92" i="61"/>
  <c r="AE92" i="61"/>
  <c r="K92" i="61"/>
  <c r="BF92" i="61"/>
  <c r="AK92" i="61"/>
  <c r="J92" i="61"/>
  <c r="AO92" i="61"/>
  <c r="I92" i="61"/>
  <c r="AC92" i="61"/>
  <c r="AL92" i="61"/>
  <c r="AH92" i="61"/>
  <c r="BD92" i="61"/>
  <c r="AU92" i="61"/>
  <c r="AA92" i="61"/>
  <c r="G92" i="61"/>
  <c r="BI92" i="61"/>
  <c r="AF92" i="61"/>
  <c r="E92" i="61"/>
  <c r="AD92" i="61"/>
  <c r="D92" i="61"/>
  <c r="R92" i="61"/>
  <c r="Q92" i="61"/>
  <c r="X92" i="61"/>
  <c r="L92" i="61"/>
  <c r="AQ92" i="61"/>
  <c r="Z92" i="61"/>
  <c r="BL92" i="61"/>
  <c r="W92" i="61"/>
  <c r="AZ92" i="61"/>
  <c r="F92" i="61"/>
  <c r="BN92" i="61"/>
  <c r="Y92" i="61"/>
  <c r="M92" i="61"/>
  <c r="BK92" i="61"/>
  <c r="BA92" i="61"/>
  <c r="BM92" i="61"/>
  <c r="BJ89" i="61"/>
  <c r="AX89" i="61"/>
  <c r="AI89" i="61"/>
  <c r="R89" i="61"/>
  <c r="O89" i="61"/>
  <c r="AF86" i="61"/>
  <c r="AO86" i="61"/>
  <c r="BF86" i="61"/>
  <c r="O86" i="61"/>
  <c r="BD91" i="61"/>
  <c r="AN91" i="61"/>
  <c r="X91" i="61"/>
  <c r="H91" i="61"/>
  <c r="BB91" i="61"/>
  <c r="AG91" i="61"/>
  <c r="K91" i="61"/>
  <c r="BA91" i="61"/>
  <c r="AE91" i="61"/>
  <c r="J91" i="61"/>
  <c r="AO91" i="61"/>
  <c r="BI91" i="61"/>
  <c r="R91" i="61"/>
  <c r="AT91" i="61"/>
  <c r="C91" i="61"/>
  <c r="AS91" i="61"/>
  <c r="AV91" i="61"/>
  <c r="AB91" i="61"/>
  <c r="D91" i="61"/>
  <c r="AQ91" i="61"/>
  <c r="Q91" i="61"/>
  <c r="AU91" i="61"/>
  <c r="U91" i="61"/>
  <c r="AY91" i="61"/>
  <c r="AX91" i="61"/>
  <c r="BO91" i="61"/>
  <c r="N91" i="61"/>
  <c r="AH91" i="61"/>
  <c r="BL91" i="61"/>
  <c r="AR91" i="61"/>
  <c r="T91" i="61"/>
  <c r="BM91" i="61"/>
  <c r="AL91" i="61"/>
  <c r="F91" i="61"/>
  <c r="AP91" i="61"/>
  <c r="O91" i="61"/>
  <c r="AD91" i="61"/>
  <c r="AM91" i="61"/>
  <c r="BE91" i="61"/>
  <c r="BC91" i="61"/>
  <c r="W91" i="61"/>
  <c r="BH91" i="61"/>
  <c r="AJ91" i="61"/>
  <c r="P91" i="61"/>
  <c r="BG91" i="61"/>
  <c r="AA91" i="61"/>
  <c r="BK91" i="61"/>
  <c r="AK91" i="61"/>
  <c r="E91" i="61"/>
  <c r="S91" i="61"/>
  <c r="AC91" i="61"/>
  <c r="AI91" i="61"/>
  <c r="M91" i="61"/>
  <c r="AF91" i="61"/>
  <c r="BF91" i="61"/>
  <c r="G91" i="61"/>
  <c r="L91" i="61"/>
  <c r="Z91" i="61"/>
  <c r="Y91" i="61"/>
  <c r="AW91" i="61"/>
  <c r="BJ91" i="61"/>
  <c r="BN91" i="61"/>
  <c r="AZ91" i="61"/>
  <c r="V91" i="61"/>
  <c r="I91" i="61"/>
  <c r="J95" i="61"/>
  <c r="AX95" i="61"/>
  <c r="AR95" i="61"/>
  <c r="AU95" i="61"/>
  <c r="I95" i="61"/>
  <c r="AW95" i="61"/>
  <c r="AN95" i="61"/>
  <c r="AQ95" i="61"/>
  <c r="C95" i="61"/>
  <c r="AG95" i="61"/>
  <c r="AJ95" i="61"/>
  <c r="AM95" i="61"/>
  <c r="BI95" i="61"/>
  <c r="Q95" i="61"/>
  <c r="AV95" i="61"/>
  <c r="P95" i="61"/>
  <c r="AF95" i="61"/>
  <c r="BK95" i="61"/>
  <c r="AS95" i="61"/>
  <c r="AP95" i="61"/>
  <c r="BG95" i="61"/>
  <c r="AK95" i="61"/>
  <c r="K95" i="61"/>
  <c r="BC95" i="61"/>
  <c r="AC95" i="61"/>
  <c r="AO95" i="61"/>
  <c r="S95" i="61"/>
  <c r="BM95" i="61"/>
  <c r="BO95" i="61"/>
  <c r="AB95" i="61"/>
  <c r="AL95" i="61"/>
  <c r="BD95" i="61"/>
  <c r="BJ95" i="61"/>
  <c r="Z95" i="61"/>
  <c r="W95" i="61"/>
  <c r="F95" i="61"/>
  <c r="U95" i="61"/>
  <c r="N95" i="61"/>
  <c r="L95" i="61"/>
  <c r="M95" i="61"/>
  <c r="X95" i="61"/>
  <c r="AD95" i="61"/>
  <c r="AZ95" i="61"/>
  <c r="BB95" i="61"/>
  <c r="BE95" i="61"/>
  <c r="E95" i="61"/>
  <c r="AY95" i="61"/>
  <c r="AE95" i="61"/>
  <c r="AH95" i="61"/>
  <c r="H95" i="61"/>
  <c r="G95" i="61"/>
  <c r="T95" i="61"/>
  <c r="V95" i="61"/>
  <c r="BL95" i="61"/>
  <c r="BA95" i="61"/>
  <c r="AA95" i="61"/>
  <c r="Y95" i="61"/>
  <c r="BH95" i="61"/>
  <c r="R95" i="61"/>
  <c r="AI95" i="61"/>
  <c r="O95" i="61"/>
  <c r="D95" i="61"/>
  <c r="AT95" i="61"/>
  <c r="BF95" i="61"/>
  <c r="BN95" i="61"/>
  <c r="BK96" i="61"/>
  <c r="AU96" i="61"/>
  <c r="BN96" i="61"/>
  <c r="AX96" i="61"/>
  <c r="BI96" i="61"/>
  <c r="AC96" i="61"/>
  <c r="BM96" i="61"/>
  <c r="BL96" i="61"/>
  <c r="BC96" i="61"/>
  <c r="AI96" i="61"/>
  <c r="AL96" i="61"/>
  <c r="N96" i="61"/>
  <c r="T96" i="61"/>
  <c r="AG96" i="61"/>
  <c r="AY96" i="61"/>
  <c r="AA96" i="61"/>
  <c r="AD96" i="61"/>
  <c r="J96" i="61"/>
  <c r="L96" i="61"/>
  <c r="Q96" i="61"/>
  <c r="BO96" i="61"/>
  <c r="AQ96" i="61"/>
  <c r="AT96" i="61"/>
  <c r="Z96" i="61"/>
  <c r="AR96" i="61"/>
  <c r="D96" i="61"/>
  <c r="AN96" i="61"/>
  <c r="AM96" i="61"/>
  <c r="S96" i="61"/>
  <c r="BA96" i="61"/>
  <c r="M96" i="61"/>
  <c r="X96" i="61"/>
  <c r="AJ96" i="61"/>
  <c r="BE90" i="61"/>
  <c r="M90" i="61"/>
  <c r="P90" i="61"/>
  <c r="D90" i="61"/>
  <c r="AM90" i="61"/>
  <c r="AZ90" i="61"/>
  <c r="X90" i="61"/>
  <c r="AS90" i="61"/>
  <c r="R90" i="61"/>
  <c r="J90" i="61"/>
  <c r="AC90" i="61"/>
  <c r="BG90" i="61"/>
  <c r="AU90" i="61"/>
  <c r="BI90" i="61"/>
  <c r="BF90" i="61"/>
  <c r="V90" i="61"/>
  <c r="AR90" i="61"/>
  <c r="AW90" i="61"/>
  <c r="Z90" i="61"/>
  <c r="F90" i="61"/>
  <c r="AB90" i="61"/>
  <c r="AK90" i="61"/>
  <c r="AJ90" i="61"/>
  <c r="K90" i="61"/>
  <c r="AH90" i="61"/>
  <c r="AO90" i="61"/>
  <c r="AD90" i="61"/>
  <c r="BO90" i="61"/>
  <c r="BK90" i="61"/>
  <c r="BN90" i="61"/>
  <c r="N90" i="61"/>
  <c r="AE90" i="61"/>
  <c r="AX90" i="61"/>
  <c r="S90" i="61"/>
  <c r="BB90" i="61"/>
  <c r="Y90" i="61"/>
  <c r="C90" i="61"/>
  <c r="AQ90" i="61"/>
  <c r="AG90" i="61"/>
  <c r="AY90" i="61"/>
  <c r="E90" i="61"/>
  <c r="AI90" i="61"/>
  <c r="L90" i="61"/>
  <c r="O90" i="61"/>
  <c r="BL90" i="61"/>
  <c r="BM90" i="61"/>
  <c r="AA90" i="61"/>
  <c r="U90" i="61"/>
  <c r="BJ90" i="61"/>
  <c r="BC90" i="61"/>
  <c r="AL90" i="61"/>
  <c r="AN90" i="61"/>
  <c r="W90" i="61"/>
  <c r="AT90" i="61"/>
  <c r="AV90" i="61"/>
  <c r="BA90" i="61"/>
  <c r="AP90" i="61"/>
  <c r="I90" i="61"/>
  <c r="T90" i="61"/>
  <c r="Q90" i="61"/>
  <c r="BD90" i="61"/>
  <c r="H90" i="61"/>
  <c r="AF90" i="61"/>
  <c r="BH90" i="61"/>
  <c r="G90" i="61"/>
  <c r="BE87" i="61"/>
  <c r="M87" i="61"/>
  <c r="BO87" i="61"/>
  <c r="AN87" i="61"/>
  <c r="X87" i="61"/>
  <c r="AS87" i="61"/>
  <c r="AR87" i="61"/>
  <c r="G87" i="61"/>
  <c r="BA87" i="61"/>
  <c r="K87" i="61"/>
  <c r="BF87" i="61"/>
  <c r="BL87" i="61"/>
  <c r="AP87" i="61"/>
  <c r="BM87" i="61"/>
  <c r="BH87" i="61"/>
  <c r="R87" i="61"/>
  <c r="AO87" i="61"/>
  <c r="AX87" i="61"/>
  <c r="Z87" i="61"/>
  <c r="W87" i="61"/>
  <c r="AG87" i="61"/>
  <c r="BN87" i="61"/>
  <c r="J87" i="61"/>
  <c r="AQ87" i="61"/>
  <c r="U87" i="61"/>
  <c r="H87" i="61"/>
  <c r="BG87" i="61"/>
  <c r="AV87" i="61"/>
  <c r="D87" i="61"/>
  <c r="AM87" i="61"/>
  <c r="Y87" i="61"/>
  <c r="AJ87" i="61"/>
  <c r="BB93" i="61"/>
  <c r="AL93" i="61"/>
  <c r="V93" i="61"/>
  <c r="F93" i="61"/>
  <c r="BA93" i="61"/>
  <c r="AK93" i="61"/>
  <c r="U93" i="61"/>
  <c r="E93" i="61"/>
  <c r="AJ93" i="61"/>
  <c r="D93" i="61"/>
  <c r="AQ93" i="61"/>
  <c r="K93" i="61"/>
  <c r="AF93" i="61"/>
  <c r="AE93" i="61"/>
  <c r="X93" i="61"/>
  <c r="G93" i="61"/>
  <c r="BJ93" i="61"/>
  <c r="AP93" i="61"/>
  <c r="R93" i="61"/>
  <c r="BI93" i="61"/>
  <c r="AO93" i="61"/>
  <c r="Q93" i="61"/>
  <c r="AZ93" i="61"/>
  <c r="L93" i="61"/>
  <c r="AI93" i="61"/>
  <c r="BL93" i="61"/>
  <c r="AU93" i="61"/>
  <c r="H93" i="61"/>
  <c r="BF93" i="61"/>
  <c r="AH93" i="61"/>
  <c r="N93" i="61"/>
  <c r="BE93" i="61"/>
  <c r="AG93" i="61"/>
  <c r="M93" i="61"/>
  <c r="AR93" i="61"/>
  <c r="BO93" i="61"/>
  <c r="AA93" i="61"/>
  <c r="AV93" i="61"/>
  <c r="O93" i="61"/>
  <c r="W93" i="61"/>
  <c r="AX93" i="61"/>
  <c r="AD93" i="61"/>
  <c r="J93" i="61"/>
  <c r="AW93" i="61"/>
  <c r="AC93" i="61"/>
  <c r="I93" i="61"/>
  <c r="AB93" i="61"/>
  <c r="AT93" i="61"/>
  <c r="Y93" i="61"/>
  <c r="AY93" i="61"/>
  <c r="BK93" i="61"/>
  <c r="BC93" i="61"/>
  <c r="Z93" i="61"/>
  <c r="BH93" i="61"/>
  <c r="S93" i="61"/>
  <c r="BD93" i="61"/>
  <c r="BM93" i="61"/>
  <c r="T93" i="61"/>
  <c r="C93" i="61"/>
  <c r="AN93" i="61"/>
  <c r="BN93" i="61"/>
  <c r="AS93" i="61"/>
  <c r="BG93" i="61"/>
  <c r="P93" i="61"/>
  <c r="AM93" i="61"/>
  <c r="BM94" i="61"/>
  <c r="L94" i="61"/>
  <c r="BG94" i="61"/>
  <c r="AG94" i="61"/>
  <c r="AT94" i="61"/>
  <c r="AV94" i="61"/>
  <c r="BB94" i="61"/>
  <c r="AU94" i="61"/>
  <c r="AS94" i="61"/>
  <c r="AF94" i="61"/>
  <c r="AR94" i="61"/>
  <c r="AX94" i="61"/>
  <c r="AC94" i="61"/>
  <c r="BC94" i="61"/>
  <c r="C94" i="61"/>
  <c r="AJ94" i="61"/>
  <c r="AK94" i="61"/>
  <c r="G94" i="61"/>
  <c r="AP94" i="61"/>
  <c r="X94" i="61"/>
  <c r="Y94" i="61"/>
  <c r="P94" i="61"/>
  <c r="AA94" i="61"/>
  <c r="Z94" i="61"/>
  <c r="W94" i="61"/>
  <c r="BJ94" i="61"/>
  <c r="BL94" i="61"/>
  <c r="D94" i="61"/>
  <c r="U94" i="61"/>
  <c r="N94" i="61"/>
  <c r="AQ94" i="61"/>
  <c r="I94" i="61"/>
  <c r="BO94" i="61"/>
  <c r="M94" i="61"/>
  <c r="F94" i="61"/>
  <c r="AW94" i="61"/>
  <c r="BH94" i="61"/>
  <c r="AY94" i="61"/>
  <c r="AI94" i="61"/>
  <c r="BA94" i="61"/>
  <c r="J94" i="61"/>
  <c r="BD94" i="61"/>
  <c r="S94" i="61"/>
  <c r="Q94" i="61"/>
  <c r="AB94" i="61"/>
  <c r="V94" i="61"/>
  <c r="T94" i="61"/>
  <c r="BI94" i="61"/>
  <c r="K94" i="61"/>
  <c r="AO94" i="61"/>
  <c r="AM94" i="61"/>
  <c r="BE94" i="61"/>
  <c r="BK94" i="61"/>
  <c r="BN94" i="61"/>
  <c r="AZ94" i="61"/>
  <c r="AL94" i="61"/>
  <c r="H94" i="61"/>
  <c r="BF94" i="61"/>
  <c r="R94" i="61"/>
  <c r="AE94" i="61"/>
  <c r="AH94" i="61"/>
  <c r="AD94" i="61"/>
  <c r="E94" i="61"/>
  <c r="O94" i="61"/>
  <c r="AN94" i="61"/>
  <c r="C59" i="61"/>
  <c r="H77" i="61" s="1"/>
  <c r="C60" i="61"/>
  <c r="I77" i="61" s="1"/>
  <c r="BG88" i="61"/>
  <c r="AQ88" i="61"/>
  <c r="AA88" i="61"/>
  <c r="K88" i="61"/>
  <c r="BE88" i="61"/>
  <c r="AJ88" i="61"/>
  <c r="N88" i="61"/>
  <c r="BM88" i="61"/>
  <c r="AK88" i="61"/>
  <c r="H88" i="61"/>
  <c r="AP88" i="61"/>
  <c r="M88" i="61"/>
  <c r="AV88" i="61"/>
  <c r="R88" i="61"/>
  <c r="X88" i="61"/>
  <c r="AF88" i="61"/>
  <c r="BO88" i="61"/>
  <c r="AU88" i="61"/>
  <c r="W88" i="61"/>
  <c r="C88" i="61"/>
  <c r="AO88" i="61"/>
  <c r="I88" i="61"/>
  <c r="AX88" i="61"/>
  <c r="P88" i="61"/>
  <c r="AH88" i="61"/>
  <c r="BI88" i="61"/>
  <c r="Z88" i="61"/>
  <c r="AL88" i="61"/>
  <c r="BA88" i="61"/>
  <c r="BK88" i="61"/>
  <c r="AM88" i="61"/>
  <c r="S88" i="61"/>
  <c r="BJ88" i="61"/>
  <c r="AD88" i="61"/>
  <c r="D88" i="61"/>
  <c r="AR88" i="61"/>
  <c r="BL88" i="61"/>
  <c r="AB88" i="61"/>
  <c r="BB88" i="61"/>
  <c r="L88" i="61"/>
  <c r="J88" i="61"/>
  <c r="AE88" i="61"/>
  <c r="AT88" i="61"/>
  <c r="BF88" i="61"/>
  <c r="AW88" i="61"/>
  <c r="AG88" i="61"/>
  <c r="E88" i="61"/>
  <c r="BC88" i="61"/>
  <c r="O88" i="61"/>
  <c r="Y88" i="61"/>
  <c r="AC88" i="61"/>
  <c r="U88" i="61"/>
  <c r="AS88" i="61"/>
  <c r="AY88" i="61"/>
  <c r="G88" i="61"/>
  <c r="T88" i="61"/>
  <c r="V88" i="61"/>
  <c r="F88" i="61"/>
  <c r="Q88" i="61"/>
  <c r="AI88" i="61"/>
  <c r="AZ88" i="61"/>
  <c r="BN88" i="61"/>
  <c r="BD88" i="61"/>
  <c r="AN88" i="61"/>
  <c r="BH88" i="61"/>
  <c r="H100" i="56"/>
  <c r="H101" i="56" s="1"/>
  <c r="I90" i="56"/>
  <c r="S18" i="8"/>
  <c r="B40" i="12"/>
  <c r="S20" i="8"/>
  <c r="AP96" i="61" l="1"/>
  <c r="BJ96" i="61"/>
  <c r="AW96" i="61"/>
  <c r="BD96" i="61"/>
  <c r="U96" i="61"/>
  <c r="C96" i="61"/>
  <c r="H96" i="61"/>
  <c r="AZ96" i="61"/>
  <c r="BB96" i="61"/>
  <c r="I96" i="61"/>
  <c r="E96" i="61"/>
  <c r="BF96" i="61"/>
  <c r="AO96" i="61"/>
  <c r="AB96" i="61"/>
  <c r="R96" i="61"/>
  <c r="O96" i="61"/>
  <c r="W86" i="61"/>
  <c r="AH86" i="61"/>
  <c r="S86" i="61"/>
  <c r="AY86" i="61"/>
  <c r="AG89" i="61"/>
  <c r="AJ89" i="61"/>
  <c r="BK89" i="61"/>
  <c r="AR89" i="61"/>
  <c r="R86" i="61"/>
  <c r="X86" i="61"/>
  <c r="AR86" i="61"/>
  <c r="BL86" i="61"/>
  <c r="BD89" i="61"/>
  <c r="G89" i="61"/>
  <c r="BN89" i="61"/>
  <c r="AO89" i="61"/>
  <c r="Q87" i="61"/>
  <c r="T87" i="61"/>
  <c r="AA87" i="61"/>
  <c r="AW87" i="61"/>
  <c r="L87" i="61"/>
  <c r="AK87" i="61"/>
  <c r="E87" i="61"/>
  <c r="P87" i="61"/>
  <c r="AI87" i="61"/>
  <c r="I87" i="61"/>
  <c r="AD87" i="61"/>
  <c r="S87" i="61"/>
  <c r="BJ87" i="61"/>
  <c r="F87" i="61"/>
  <c r="AC87" i="61"/>
  <c r="AU87" i="61"/>
  <c r="O87" i="61"/>
  <c r="AL87" i="61"/>
  <c r="V87" i="61"/>
  <c r="AB87" i="61"/>
  <c r="AF87" i="61"/>
  <c r="BC87" i="61"/>
  <c r="N87" i="61"/>
  <c r="BK87" i="61"/>
  <c r="C87" i="61"/>
  <c r="AT87" i="61"/>
  <c r="BB87" i="61"/>
  <c r="AH87" i="61"/>
  <c r="BD87" i="61"/>
  <c r="BI87" i="61"/>
  <c r="AY87" i="61"/>
  <c r="AE87" i="61"/>
  <c r="BG96" i="61"/>
  <c r="AF96" i="61"/>
  <c r="V96" i="61"/>
  <c r="AV96" i="61"/>
  <c r="F96" i="61"/>
  <c r="W96" i="61"/>
  <c r="Y96" i="61"/>
  <c r="AK96" i="61"/>
  <c r="G96" i="61"/>
  <c r="P96" i="61"/>
  <c r="AS96" i="61"/>
  <c r="K96" i="61"/>
  <c r="BE96" i="61"/>
  <c r="BH96" i="61"/>
  <c r="AH96" i="61"/>
  <c r="BD86" i="61"/>
  <c r="U86" i="61"/>
  <c r="BK86" i="61"/>
  <c r="F86" i="61"/>
  <c r="AK89" i="61"/>
  <c r="AQ89" i="61"/>
  <c r="M89" i="61"/>
  <c r="BI89" i="61"/>
  <c r="G86" i="61"/>
  <c r="L86" i="61"/>
  <c r="AK86" i="61"/>
  <c r="T86" i="61"/>
  <c r="BC86" i="61"/>
  <c r="BI86" i="61"/>
  <c r="BJ86" i="61"/>
  <c r="BH86" i="61"/>
  <c r="N86" i="61"/>
  <c r="AA86" i="61"/>
  <c r="AS86" i="61"/>
  <c r="Z86" i="61"/>
  <c r="AG86" i="61"/>
  <c r="AM86" i="61"/>
  <c r="D86" i="61"/>
  <c r="V86" i="61"/>
  <c r="AE89" i="61"/>
  <c r="AL89" i="61"/>
  <c r="X89" i="61"/>
  <c r="AF89" i="61"/>
  <c r="BF89" i="61"/>
  <c r="BH89" i="61"/>
  <c r="BE89" i="61"/>
  <c r="Q89" i="61"/>
  <c r="BO89" i="61"/>
  <c r="D89" i="61"/>
  <c r="BA89" i="61"/>
  <c r="AS89" i="61"/>
  <c r="Y89" i="61"/>
  <c r="U89" i="61"/>
  <c r="BM89" i="61"/>
  <c r="N89" i="61"/>
  <c r="J77" i="61"/>
  <c r="K77" i="61" s="1"/>
  <c r="C25" i="61" s="1"/>
  <c r="J97" i="61" s="1"/>
  <c r="J98" i="61" s="1"/>
  <c r="J99" i="61" s="1"/>
  <c r="AZ86" i="61"/>
  <c r="AN86" i="61"/>
  <c r="Q86" i="61"/>
  <c r="BE86" i="61"/>
  <c r="BG86" i="61"/>
  <c r="AE86" i="61"/>
  <c r="BA86" i="61"/>
  <c r="AI86" i="61"/>
  <c r="AP86" i="61"/>
  <c r="AQ86" i="61"/>
  <c r="I86" i="61"/>
  <c r="AT86" i="61"/>
  <c r="E86" i="61"/>
  <c r="H86" i="61"/>
  <c r="Y86" i="61"/>
  <c r="AL86" i="61"/>
  <c r="L89" i="61"/>
  <c r="AA89" i="61"/>
  <c r="J89" i="61"/>
  <c r="AM89" i="61"/>
  <c r="AU89" i="61"/>
  <c r="AY89" i="61"/>
  <c r="AV89" i="61"/>
  <c r="AW89" i="61"/>
  <c r="V89" i="61"/>
  <c r="E89" i="61"/>
  <c r="AB89" i="61"/>
  <c r="F89" i="61"/>
  <c r="P89" i="61"/>
  <c r="BL89" i="61"/>
  <c r="S89" i="61"/>
  <c r="AD89" i="61"/>
  <c r="P86" i="61"/>
  <c r="C86" i="61"/>
  <c r="AX86" i="61"/>
  <c r="M86" i="61"/>
  <c r="AD86" i="61"/>
  <c r="AB86" i="61"/>
  <c r="J86" i="61"/>
  <c r="BM86" i="61"/>
  <c r="BO86" i="61"/>
  <c r="K86" i="61"/>
  <c r="AW86" i="61"/>
  <c r="AJ86" i="61"/>
  <c r="BN86" i="61"/>
  <c r="AV86" i="61"/>
  <c r="AC86" i="61"/>
  <c r="AU86" i="61"/>
  <c r="C89" i="61"/>
  <c r="K89" i="61"/>
  <c r="BB89" i="61"/>
  <c r="AC89" i="61"/>
  <c r="T89" i="61"/>
  <c r="AH89" i="61"/>
  <c r="AZ89" i="61"/>
  <c r="H89" i="61"/>
  <c r="AP89" i="61"/>
  <c r="I89" i="61"/>
  <c r="BC89" i="61"/>
  <c r="Z89" i="61"/>
  <c r="BG89" i="61"/>
  <c r="W89" i="61"/>
  <c r="AN89" i="61"/>
  <c r="Z97" i="61"/>
  <c r="Y97" i="61"/>
  <c r="AY97" i="61"/>
  <c r="AY98" i="61" s="1"/>
  <c r="AY99" i="61" s="1"/>
  <c r="F97" i="61"/>
  <c r="F98" i="61" s="1"/>
  <c r="F99" i="61" s="1"/>
  <c r="AB97" i="61"/>
  <c r="AE97" i="61"/>
  <c r="AE98" i="61" s="1"/>
  <c r="AE99" i="61" s="1"/>
  <c r="R97" i="61"/>
  <c r="R98" i="61" s="1"/>
  <c r="R99" i="61" s="1"/>
  <c r="BO97" i="61"/>
  <c r="BO98" i="61" s="1"/>
  <c r="BO99" i="61" s="1"/>
  <c r="G97" i="61"/>
  <c r="G98" i="61" s="1"/>
  <c r="G99" i="61" s="1"/>
  <c r="AS97" i="61"/>
  <c r="BL97" i="61"/>
  <c r="BL98" i="61" s="1"/>
  <c r="BL99" i="61" s="1"/>
  <c r="AH97" i="61"/>
  <c r="AH98" i="61" s="1"/>
  <c r="AH99" i="61" s="1"/>
  <c r="T97" i="61"/>
  <c r="AN97" i="61"/>
  <c r="BH97" i="61"/>
  <c r="H97" i="61"/>
  <c r="H98" i="61" s="1"/>
  <c r="H99" i="61" s="1"/>
  <c r="S21" i="8"/>
  <c r="S22" i="8" s="1"/>
  <c r="B41" i="12" s="1"/>
  <c r="AU98" i="61" l="1"/>
  <c r="AU99" i="61" s="1"/>
  <c r="I98" i="61"/>
  <c r="I99" i="61" s="1"/>
  <c r="BB97" i="61"/>
  <c r="BB98" i="61" s="1"/>
  <c r="BB99" i="61" s="1"/>
  <c r="M97" i="61"/>
  <c r="M98" i="61" s="1"/>
  <c r="M99" i="61" s="1"/>
  <c r="AQ97" i="61"/>
  <c r="AQ98" i="61" s="1"/>
  <c r="AQ99" i="61" s="1"/>
  <c r="X97" i="61"/>
  <c r="X98" i="61" s="1"/>
  <c r="X99" i="61" s="1"/>
  <c r="AT97" i="61"/>
  <c r="AT98" i="61" s="1"/>
  <c r="AT99" i="61" s="1"/>
  <c r="E97" i="61"/>
  <c r="E98" i="61" s="1"/>
  <c r="E99" i="61" s="1"/>
  <c r="L97" i="61"/>
  <c r="L98" i="61" s="1"/>
  <c r="L99" i="61" s="1"/>
  <c r="AP97" i="61"/>
  <c r="AP98" i="61" s="1"/>
  <c r="AP99" i="61" s="1"/>
  <c r="BA98" i="61"/>
  <c r="BA99" i="61" s="1"/>
  <c r="AV97" i="61"/>
  <c r="AV98" i="61" s="1"/>
  <c r="AV99" i="61" s="1"/>
  <c r="AL97" i="61"/>
  <c r="AL98" i="61" s="1"/>
  <c r="AL99" i="61" s="1"/>
  <c r="AM97" i="61"/>
  <c r="AM98" i="61" s="1"/>
  <c r="AM99" i="61" s="1"/>
  <c r="K97" i="61"/>
  <c r="K98" i="61" s="1"/>
  <c r="K99" i="61" s="1"/>
  <c r="AX97" i="61"/>
  <c r="AR97" i="61"/>
  <c r="AR98" i="61" s="1"/>
  <c r="AR99" i="61" s="1"/>
  <c r="BE97" i="61"/>
  <c r="BE98" i="61" s="1"/>
  <c r="BE99" i="61" s="1"/>
  <c r="BF97" i="61"/>
  <c r="BF98" i="61" s="1"/>
  <c r="BF99" i="61" s="1"/>
  <c r="AA98" i="61"/>
  <c r="AA99" i="61" s="1"/>
  <c r="D97" i="61"/>
  <c r="D98" i="61" s="1"/>
  <c r="D99" i="61" s="1"/>
  <c r="O97" i="61"/>
  <c r="O98" i="61" s="1"/>
  <c r="O99" i="61" s="1"/>
  <c r="BJ97" i="61"/>
  <c r="BJ98" i="61" s="1"/>
  <c r="BJ99" i="61" s="1"/>
  <c r="N97" i="61"/>
  <c r="N98" i="61" s="1"/>
  <c r="N99" i="61" s="1"/>
  <c r="AZ97" i="61"/>
  <c r="AZ98" i="61" s="1"/>
  <c r="AZ99" i="61" s="1"/>
  <c r="AF97" i="61"/>
  <c r="AD97" i="61"/>
  <c r="AD98" i="61" s="1"/>
  <c r="AD99" i="61" s="1"/>
  <c r="AO97" i="61"/>
  <c r="AO98" i="61" s="1"/>
  <c r="AO99" i="61" s="1"/>
  <c r="BC98" i="61"/>
  <c r="BC99" i="61" s="1"/>
  <c r="AX98" i="61"/>
  <c r="AX99" i="61" s="1"/>
  <c r="AB98" i="61"/>
  <c r="AB99" i="61" s="1"/>
  <c r="AA97" i="61"/>
  <c r="V97" i="61"/>
  <c r="V98" i="61" s="1"/>
  <c r="V99" i="61" s="1"/>
  <c r="P97" i="61"/>
  <c r="P98" i="61" s="1"/>
  <c r="P99" i="61" s="1"/>
  <c r="AK97" i="61"/>
  <c r="AK98" i="61" s="1"/>
  <c r="AK99" i="61" s="1"/>
  <c r="W97" i="61"/>
  <c r="AJ97" i="61"/>
  <c r="AJ98" i="61" s="1"/>
  <c r="AJ99" i="61" s="1"/>
  <c r="BK97" i="61"/>
  <c r="BK98" i="61" s="1"/>
  <c r="BK99" i="61" s="1"/>
  <c r="U97" i="61"/>
  <c r="U98" i="61" s="1"/>
  <c r="U99" i="61" s="1"/>
  <c r="AC97" i="61"/>
  <c r="AC98" i="61" s="1"/>
  <c r="AC99" i="61" s="1"/>
  <c r="W98" i="61"/>
  <c r="W99" i="61" s="1"/>
  <c r="BI97" i="61"/>
  <c r="BI98" i="61" s="1"/>
  <c r="BI99" i="61" s="1"/>
  <c r="BD97" i="61"/>
  <c r="BD98" i="61" s="1"/>
  <c r="BD99" i="61" s="1"/>
  <c r="AG97" i="61"/>
  <c r="AG98" i="61" s="1"/>
  <c r="AG99" i="61" s="1"/>
  <c r="AI97" i="61"/>
  <c r="AI98" i="61" s="1"/>
  <c r="AI99" i="61" s="1"/>
  <c r="BM97" i="61"/>
  <c r="BM98" i="61" s="1"/>
  <c r="BM99" i="61" s="1"/>
  <c r="AU97" i="61"/>
  <c r="Q97" i="61"/>
  <c r="Q98" i="61" s="1"/>
  <c r="Q99" i="61" s="1"/>
  <c r="BN97" i="61"/>
  <c r="BN98" i="61" s="1"/>
  <c r="BN99" i="61" s="1"/>
  <c r="C97" i="61"/>
  <c r="C98" i="61" s="1"/>
  <c r="C99" i="61" s="1"/>
  <c r="BA97" i="61"/>
  <c r="BC97" i="61"/>
  <c r="BG97" i="61"/>
  <c r="BG98" i="61" s="1"/>
  <c r="BG99" i="61" s="1"/>
  <c r="AW97" i="61"/>
  <c r="AW98" i="61" s="1"/>
  <c r="AW99" i="61" s="1"/>
  <c r="S97" i="61"/>
  <c r="S98" i="61" s="1"/>
  <c r="S99" i="61" s="1"/>
  <c r="I97" i="61"/>
  <c r="AN98" i="61"/>
  <c r="AN99" i="61" s="1"/>
  <c r="T98" i="61"/>
  <c r="T99" i="61" s="1"/>
  <c r="AS98" i="61"/>
  <c r="AS99" i="61" s="1"/>
  <c r="Y98" i="61"/>
  <c r="Y99" i="61" s="1"/>
  <c r="Z98" i="61"/>
  <c r="Z99" i="61" s="1"/>
  <c r="BH98" i="61"/>
  <c r="BH99" i="61" s="1"/>
  <c r="AF98" i="61"/>
  <c r="AF99" i="61" s="1"/>
  <c r="M33" i="12"/>
  <c r="M32" i="12"/>
  <c r="N32" i="12" s="1"/>
  <c r="N31" i="12" s="1"/>
  <c r="BP99" i="61" l="1"/>
  <c r="U84" i="61" s="1"/>
  <c r="P32" i="12"/>
  <c r="P31" i="12"/>
  <c r="BF84" i="61" l="1"/>
  <c r="BD84" i="61"/>
  <c r="O84" i="61"/>
  <c r="AL84" i="61"/>
  <c r="BL84" i="61"/>
  <c r="AP84" i="61"/>
  <c r="P84" i="61"/>
  <c r="S84" i="61"/>
  <c r="Q84" i="61"/>
  <c r="AA84" i="61"/>
  <c r="AG84" i="61"/>
  <c r="R84" i="61"/>
  <c r="BK84" i="61"/>
  <c r="BE84" i="61"/>
  <c r="BM84" i="61"/>
  <c r="AB84" i="61"/>
  <c r="BB84" i="61"/>
  <c r="AW84" i="61"/>
  <c r="AE84" i="61"/>
  <c r="C84" i="61"/>
  <c r="BN84" i="61"/>
  <c r="BG84" i="61"/>
  <c r="AR84" i="61"/>
  <c r="Z84" i="61"/>
  <c r="AO84" i="61"/>
  <c r="BI84" i="61"/>
  <c r="AT84" i="61"/>
  <c r="AJ84" i="61"/>
  <c r="AV84" i="61"/>
  <c r="L84" i="61"/>
  <c r="AC84" i="61"/>
  <c r="AN84" i="61"/>
  <c r="I84" i="61"/>
  <c r="J84" i="61"/>
  <c r="BH84" i="61"/>
  <c r="BJ84" i="61"/>
  <c r="AQ84" i="61"/>
  <c r="BC84" i="61"/>
  <c r="AD84" i="61"/>
  <c r="T84" i="61"/>
  <c r="N84" i="61"/>
  <c r="AI84" i="61"/>
  <c r="H84" i="61"/>
  <c r="AS84" i="61"/>
  <c r="G84" i="61"/>
  <c r="K84" i="61"/>
  <c r="W84" i="61"/>
  <c r="AU84" i="61"/>
  <c r="AH84" i="61"/>
  <c r="X84" i="61"/>
  <c r="Y84" i="61"/>
  <c r="D84" i="61"/>
  <c r="E84" i="61"/>
  <c r="AK84" i="61"/>
  <c r="AY84" i="61"/>
  <c r="M84" i="61"/>
  <c r="V84" i="61"/>
  <c r="F84" i="61"/>
  <c r="AZ84" i="61"/>
  <c r="BA84" i="61"/>
  <c r="AX84" i="61"/>
  <c r="BO84" i="61"/>
  <c r="AM84" i="61"/>
  <c r="AF84" i="61"/>
  <c r="Q31" i="12"/>
  <c r="E6" i="57"/>
  <c r="C111" i="57" s="1"/>
  <c r="E22" i="57" s="1"/>
  <c r="AC21" i="9"/>
  <c r="D11" i="61" l="1"/>
  <c r="I23" i="61" s="1"/>
  <c r="AA18" i="9" s="1"/>
  <c r="AC18" i="9" s="1"/>
  <c r="I15" i="61"/>
  <c r="F19" i="61"/>
  <c r="Z14" i="9" s="1"/>
  <c r="I25" i="61"/>
  <c r="AA20" i="9" s="1"/>
  <c r="AC20" i="9" s="1"/>
  <c r="F24" i="61"/>
  <c r="Z19" i="9" s="1"/>
  <c r="I21" i="61"/>
  <c r="AA16" i="9" s="1"/>
  <c r="AC16" i="9" s="1"/>
  <c r="F16" i="61"/>
  <c r="Z11" i="9" s="1"/>
  <c r="F17" i="61"/>
  <c r="Z12" i="9" s="1"/>
  <c r="F23" i="61"/>
  <c r="Z18" i="9" s="1"/>
  <c r="F15" i="61"/>
  <c r="Z10" i="9" s="1"/>
  <c r="F20" i="61"/>
  <c r="Z15" i="9" s="1"/>
  <c r="I24" i="61"/>
  <c r="AA19" i="9" s="1"/>
  <c r="AC19" i="9" s="1"/>
  <c r="G15" i="61"/>
  <c r="H15" i="61" s="1"/>
  <c r="O45" i="12"/>
  <c r="C80" i="9" s="1"/>
  <c r="O49" i="12"/>
  <c r="C84" i="9" s="1"/>
  <c r="G25" i="61"/>
  <c r="H25" i="61" s="1"/>
  <c r="G24" i="61"/>
  <c r="H24" i="61" s="1"/>
  <c r="J24" i="61"/>
  <c r="G23" i="61"/>
  <c r="H23" i="61" s="1"/>
  <c r="C116" i="57"/>
  <c r="E23" i="57" s="1"/>
  <c r="AC22" i="9"/>
  <c r="E7" i="57"/>
  <c r="E17" i="57" s="1"/>
  <c r="E19" i="57" s="1"/>
  <c r="E25" i="57" s="1"/>
  <c r="Q34" i="12" s="1"/>
  <c r="B7" i="62" s="1"/>
  <c r="C51" i="62" s="1"/>
  <c r="C106" i="57"/>
  <c r="E21" i="57" s="1"/>
  <c r="AD21" i="9"/>
  <c r="AF21" i="9"/>
  <c r="N48" i="12" l="1"/>
  <c r="AB19" i="9"/>
  <c r="J15" i="61"/>
  <c r="AA10" i="9"/>
  <c r="AC10" i="9" s="1"/>
  <c r="J23" i="61"/>
  <c r="O48" i="12"/>
  <c r="C83" i="9" s="1"/>
  <c r="J21" i="61"/>
  <c r="O39" i="12"/>
  <c r="C74" i="9" s="1"/>
  <c r="I16" i="61"/>
  <c r="I14" i="61"/>
  <c r="I17" i="61"/>
  <c r="I18" i="61"/>
  <c r="F22" i="61"/>
  <c r="Z17" i="9" s="1"/>
  <c r="F25" i="61"/>
  <c r="Z20" i="9" s="1"/>
  <c r="O47" i="12"/>
  <c r="C82" i="9" s="1"/>
  <c r="J25" i="61"/>
  <c r="G21" i="61"/>
  <c r="H21" i="61" s="1"/>
  <c r="F14" i="61"/>
  <c r="I19" i="61"/>
  <c r="F18" i="61"/>
  <c r="Z13" i="9" s="1"/>
  <c r="F21" i="61"/>
  <c r="Z16" i="9" s="1"/>
  <c r="I22" i="61"/>
  <c r="I20" i="61"/>
  <c r="P48" i="12"/>
  <c r="Q48" i="12" s="1"/>
  <c r="E24" i="62" s="1"/>
  <c r="C19" i="35" s="1"/>
  <c r="C62" i="9"/>
  <c r="AO80" i="9"/>
  <c r="AN80" i="9"/>
  <c r="AF80" i="9"/>
  <c r="AM80" i="9"/>
  <c r="AQ80" i="9"/>
  <c r="AC80" i="9"/>
  <c r="U80" i="9"/>
  <c r="AJ80" i="9"/>
  <c r="AP80" i="9"/>
  <c r="AG80" i="9"/>
  <c r="AR80" i="9"/>
  <c r="C37" i="9"/>
  <c r="AH80" i="9"/>
  <c r="AD80" i="9"/>
  <c r="AE80" i="9"/>
  <c r="C11" i="17"/>
  <c r="AI80" i="9"/>
  <c r="AL80" i="9"/>
  <c r="AK80" i="9"/>
  <c r="AM82" i="9"/>
  <c r="AD82" i="9"/>
  <c r="AK82" i="9"/>
  <c r="AC82" i="9"/>
  <c r="AE82" i="9"/>
  <c r="AG82" i="9"/>
  <c r="AQ82" i="9"/>
  <c r="AN82" i="9"/>
  <c r="C39" i="9"/>
  <c r="AL82" i="9"/>
  <c r="AR82" i="9"/>
  <c r="AP82" i="9"/>
  <c r="AF82" i="9"/>
  <c r="AO82" i="9"/>
  <c r="U82" i="9"/>
  <c r="AJ82" i="9"/>
  <c r="C13" i="17"/>
  <c r="AH82" i="9"/>
  <c r="AI82" i="9"/>
  <c r="AJ74" i="9"/>
  <c r="AE74" i="9"/>
  <c r="AL74" i="9"/>
  <c r="AG74" i="9"/>
  <c r="AF74" i="9"/>
  <c r="C31" i="9"/>
  <c r="AN74" i="9"/>
  <c r="AO74" i="9"/>
  <c r="AP74" i="9"/>
  <c r="AK74" i="9"/>
  <c r="AI74" i="9"/>
  <c r="AR74" i="9"/>
  <c r="AC74" i="9"/>
  <c r="AH74" i="9"/>
  <c r="AM74" i="9"/>
  <c r="AD74" i="9"/>
  <c r="AQ74" i="9"/>
  <c r="C5" i="17"/>
  <c r="AK84" i="9"/>
  <c r="AH84" i="9"/>
  <c r="AF84" i="9"/>
  <c r="C41" i="9"/>
  <c r="AN84" i="9"/>
  <c r="AI84" i="9"/>
  <c r="AL84" i="9"/>
  <c r="C15" i="17"/>
  <c r="AP84" i="9"/>
  <c r="AE84" i="9"/>
  <c r="AR84" i="9"/>
  <c r="C85" i="9"/>
  <c r="AM84" i="9"/>
  <c r="AQ84" i="9"/>
  <c r="AD84" i="9"/>
  <c r="AC84" i="9"/>
  <c r="AO84" i="9"/>
  <c r="AJ84" i="9"/>
  <c r="U84" i="9"/>
  <c r="AG84" i="9"/>
  <c r="AM83" i="9"/>
  <c r="AN83" i="9"/>
  <c r="AI83" i="9"/>
  <c r="AC83" i="9"/>
  <c r="AJ83" i="9"/>
  <c r="C14" i="17"/>
  <c r="AF83" i="9"/>
  <c r="AG83" i="9"/>
  <c r="AP83" i="9"/>
  <c r="AK83" i="9"/>
  <c r="AQ83" i="9"/>
  <c r="AE83" i="9"/>
  <c r="AH83" i="9"/>
  <c r="AO83" i="9"/>
  <c r="AR83" i="9"/>
  <c r="AD83" i="9"/>
  <c r="C40" i="9"/>
  <c r="U83" i="9"/>
  <c r="AL83" i="9"/>
  <c r="E18" i="57"/>
  <c r="H87" i="57" s="1"/>
  <c r="H88" i="57" s="1"/>
  <c r="L68" i="62"/>
  <c r="Y11" i="35" s="1"/>
  <c r="L77" i="62"/>
  <c r="Y20" i="35" s="1"/>
  <c r="C57" i="62"/>
  <c r="C58" i="62"/>
  <c r="L72" i="62"/>
  <c r="Y15" i="35" s="1"/>
  <c r="L67" i="62"/>
  <c r="Y10" i="35" s="1"/>
  <c r="L69" i="62"/>
  <c r="Y12" i="35" s="1"/>
  <c r="L71" i="62"/>
  <c r="Y14" i="35" s="1"/>
  <c r="L74" i="62"/>
  <c r="Y17" i="35" s="1"/>
  <c r="L66" i="62"/>
  <c r="Y9" i="35" s="1"/>
  <c r="L73" i="62"/>
  <c r="Y16" i="35" s="1"/>
  <c r="L75" i="62"/>
  <c r="Y18" i="35" s="1"/>
  <c r="L76" i="62"/>
  <c r="Y19" i="35" s="1"/>
  <c r="C56" i="62"/>
  <c r="K66" i="62" s="1"/>
  <c r="C14" i="62" s="1"/>
  <c r="L70" i="62"/>
  <c r="Y13" i="35" s="1"/>
  <c r="E5" i="59"/>
  <c r="E5" i="60"/>
  <c r="AD22" i="9"/>
  <c r="AF22" i="9"/>
  <c r="AC23" i="9"/>
  <c r="E20" i="57"/>
  <c r="R34" i="12"/>
  <c r="S34" i="12" s="1"/>
  <c r="T34" i="12" s="1"/>
  <c r="AO19" i="35" l="1"/>
  <c r="BA19" i="35"/>
  <c r="AR19" i="35"/>
  <c r="BD19" i="35"/>
  <c r="BB19" i="35"/>
  <c r="AP19" i="35"/>
  <c r="AW19" i="35"/>
  <c r="BC19" i="35"/>
  <c r="U19" i="35"/>
  <c r="AS19" i="35"/>
  <c r="AT19" i="35"/>
  <c r="AV19" i="35"/>
  <c r="AY19" i="35"/>
  <c r="AQ19" i="35"/>
  <c r="AX19" i="35"/>
  <c r="AU19" i="35"/>
  <c r="AZ19" i="35"/>
  <c r="BE19" i="35" s="1"/>
  <c r="N49" i="12"/>
  <c r="AB20" i="9"/>
  <c r="J18" i="61"/>
  <c r="AA13" i="9"/>
  <c r="AC13" i="9" s="1"/>
  <c r="O42" i="12"/>
  <c r="C77" i="9" s="1"/>
  <c r="G18" i="61"/>
  <c r="H18" i="61" s="1"/>
  <c r="AA15" i="9"/>
  <c r="AC15" i="9" s="1"/>
  <c r="J20" i="61"/>
  <c r="O44" i="12"/>
  <c r="C79" i="9" s="1"/>
  <c r="G20" i="61"/>
  <c r="H20" i="61" s="1"/>
  <c r="AA14" i="9"/>
  <c r="AC14" i="9" s="1"/>
  <c r="O43" i="12"/>
  <c r="C78" i="9" s="1"/>
  <c r="J19" i="61"/>
  <c r="G19" i="61"/>
  <c r="H19" i="61" s="1"/>
  <c r="AA12" i="9"/>
  <c r="AC12" i="9" s="1"/>
  <c r="O41" i="12"/>
  <c r="C76" i="9" s="1"/>
  <c r="G17" i="61"/>
  <c r="H17" i="61" s="1"/>
  <c r="J17" i="61"/>
  <c r="N45" i="12"/>
  <c r="AB16" i="9"/>
  <c r="N39" i="12"/>
  <c r="AB10" i="9"/>
  <c r="AA17" i="9"/>
  <c r="AC17" i="9" s="1"/>
  <c r="J22" i="61"/>
  <c r="G22" i="61"/>
  <c r="H22" i="61" s="1"/>
  <c r="O46" i="12"/>
  <c r="C81" i="9" s="1"/>
  <c r="Z9" i="9"/>
  <c r="Z25" i="9" s="1"/>
  <c r="F26" i="61"/>
  <c r="AA9" i="9"/>
  <c r="G14" i="61"/>
  <c r="I26" i="61"/>
  <c r="O38" i="12"/>
  <c r="J14" i="61"/>
  <c r="AD19" i="9"/>
  <c r="AF19" i="9"/>
  <c r="AA11" i="9"/>
  <c r="AC11" i="9" s="1"/>
  <c r="J16" i="61"/>
  <c r="O40" i="12"/>
  <c r="C75" i="9" s="1"/>
  <c r="G16" i="61"/>
  <c r="H16" i="61" s="1"/>
  <c r="N47" i="12"/>
  <c r="AB18" i="9"/>
  <c r="K69" i="62"/>
  <c r="C17" i="62" s="1"/>
  <c r="K72" i="62"/>
  <c r="C20" i="62" s="1"/>
  <c r="I87" i="57"/>
  <c r="AG85" i="9"/>
  <c r="C16" i="17"/>
  <c r="AD85" i="9"/>
  <c r="AJ85" i="9"/>
  <c r="AC85" i="9"/>
  <c r="AH85" i="9"/>
  <c r="C86" i="9"/>
  <c r="AL85" i="9"/>
  <c r="AM85" i="9"/>
  <c r="AN85" i="9"/>
  <c r="AP85" i="9"/>
  <c r="AO85" i="9"/>
  <c r="C42" i="9"/>
  <c r="AE85" i="9"/>
  <c r="AQ85" i="9"/>
  <c r="AR85" i="9"/>
  <c r="U85" i="9"/>
  <c r="AK85" i="9"/>
  <c r="AF85" i="9"/>
  <c r="AI85" i="9"/>
  <c r="AM15" i="17"/>
  <c r="AF15" i="17"/>
  <c r="U15" i="17"/>
  <c r="AD15" i="17"/>
  <c r="AE15" i="17"/>
  <c r="AK15" i="17"/>
  <c r="AJ15" i="17"/>
  <c r="AN15" i="17"/>
  <c r="AI15" i="17"/>
  <c r="AR15" i="17"/>
  <c r="AL15" i="17"/>
  <c r="AQ15" i="17"/>
  <c r="AC15" i="17"/>
  <c r="AG15" i="17"/>
  <c r="AO15" i="17"/>
  <c r="AB36" i="17"/>
  <c r="AH15" i="17"/>
  <c r="AP15" i="17"/>
  <c r="U13" i="17"/>
  <c r="AK13" i="17"/>
  <c r="AC13" i="17"/>
  <c r="AL13" i="17"/>
  <c r="AH13" i="17"/>
  <c r="AE13" i="17"/>
  <c r="AI13" i="17"/>
  <c r="AG13" i="17"/>
  <c r="AM13" i="17"/>
  <c r="AN13" i="17"/>
  <c r="AF13" i="17"/>
  <c r="AR13" i="17"/>
  <c r="AJ13" i="17"/>
  <c r="AD13" i="17"/>
  <c r="AP13" i="17"/>
  <c r="AB34" i="17"/>
  <c r="AO13" i="17"/>
  <c r="AQ13" i="17"/>
  <c r="AC11" i="17"/>
  <c r="AL11" i="17"/>
  <c r="AJ11" i="17"/>
  <c r="AQ11" i="17"/>
  <c r="AD11" i="17"/>
  <c r="AM11" i="17"/>
  <c r="U11" i="17"/>
  <c r="AP11" i="17"/>
  <c r="AF11" i="17"/>
  <c r="AK11" i="17"/>
  <c r="AI11" i="17"/>
  <c r="AG11" i="17"/>
  <c r="AE11" i="17"/>
  <c r="AR11" i="17"/>
  <c r="AB32" i="17"/>
  <c r="AO11" i="17"/>
  <c r="AN11" i="17"/>
  <c r="AH11" i="17"/>
  <c r="K67" i="62"/>
  <c r="C15" i="62" s="1"/>
  <c r="K76" i="62"/>
  <c r="C24" i="62" s="1"/>
  <c r="BN96" i="62" s="1"/>
  <c r="AL14" i="17"/>
  <c r="AO14" i="17"/>
  <c r="AG14" i="17"/>
  <c r="AC14" i="17"/>
  <c r="AH14" i="17"/>
  <c r="U14" i="17"/>
  <c r="AQ14" i="17"/>
  <c r="AE14" i="17"/>
  <c r="AD14" i="17"/>
  <c r="AB35" i="17"/>
  <c r="AI14" i="17"/>
  <c r="AP14" i="17"/>
  <c r="AK14" i="17"/>
  <c r="AN14" i="17"/>
  <c r="AF14" i="17"/>
  <c r="AR14" i="17"/>
  <c r="AJ14" i="17"/>
  <c r="AM14" i="17"/>
  <c r="AE62" i="9"/>
  <c r="AI62" i="9"/>
  <c r="U62" i="9"/>
  <c r="AJ62" i="9"/>
  <c r="AK62" i="9"/>
  <c r="AL62" i="9"/>
  <c r="AD62" i="9"/>
  <c r="AH62" i="9"/>
  <c r="AC62" i="9"/>
  <c r="AF62" i="9"/>
  <c r="AP62" i="9"/>
  <c r="AQ62" i="9"/>
  <c r="AO62" i="9"/>
  <c r="AR62" i="9"/>
  <c r="AN62" i="9"/>
  <c r="AM62" i="9"/>
  <c r="AG62" i="9"/>
  <c r="K71" i="62"/>
  <c r="C19" i="62" s="1"/>
  <c r="AD5" i="17"/>
  <c r="AO5" i="17"/>
  <c r="AB26" i="17"/>
  <c r="AE5" i="17"/>
  <c r="AG5" i="17"/>
  <c r="AM5" i="17"/>
  <c r="AQ5" i="17"/>
  <c r="AL5" i="17"/>
  <c r="AK5" i="17"/>
  <c r="AF5" i="17"/>
  <c r="AP5" i="17"/>
  <c r="AR5" i="17"/>
  <c r="AI5" i="17"/>
  <c r="AN5" i="17"/>
  <c r="AH5" i="17"/>
  <c r="AC5" i="17"/>
  <c r="AJ5" i="17"/>
  <c r="M24" i="62"/>
  <c r="N24" i="62" s="1"/>
  <c r="K75" i="62"/>
  <c r="C23" i="62" s="1"/>
  <c r="K73" i="62"/>
  <c r="C21" i="62" s="1"/>
  <c r="K74" i="62"/>
  <c r="C22" i="62" s="1"/>
  <c r="C60" i="62"/>
  <c r="I77" i="62" s="1"/>
  <c r="C59" i="62"/>
  <c r="H77" i="62" s="1"/>
  <c r="K70" i="62"/>
  <c r="C18" i="62" s="1"/>
  <c r="K68" i="62"/>
  <c r="C16" i="62" s="1"/>
  <c r="BA96" i="62"/>
  <c r="AH96" i="62"/>
  <c r="Q96" i="62"/>
  <c r="E96" i="62"/>
  <c r="BO96" i="62"/>
  <c r="AD96" i="62"/>
  <c r="BK96" i="62"/>
  <c r="AR96" i="62"/>
  <c r="I96" i="62"/>
  <c r="AS96" i="62"/>
  <c r="AA96" i="62"/>
  <c r="N96" i="62"/>
  <c r="AT96" i="62"/>
  <c r="AM96" i="62"/>
  <c r="AI96" i="62"/>
  <c r="AW96" i="62"/>
  <c r="E6" i="60"/>
  <c r="K103" i="60"/>
  <c r="E16" i="60" s="1"/>
  <c r="I57" i="60"/>
  <c r="E14" i="60" s="1"/>
  <c r="I18" i="60"/>
  <c r="I20" i="60" s="1"/>
  <c r="E6" i="59"/>
  <c r="K103" i="59"/>
  <c r="E16" i="59" s="1"/>
  <c r="P54" i="12" s="1"/>
  <c r="I57" i="59"/>
  <c r="E14" i="59" s="1"/>
  <c r="I18" i="59"/>
  <c r="I20" i="59" s="1"/>
  <c r="AD23" i="9"/>
  <c r="AF23" i="9"/>
  <c r="E3" i="35"/>
  <c r="I88" i="57"/>
  <c r="H89" i="57"/>
  <c r="H90" i="57" s="1"/>
  <c r="C6" i="17" l="1"/>
  <c r="AR75" i="9"/>
  <c r="AL75" i="9"/>
  <c r="AF75" i="9"/>
  <c r="AM75" i="9"/>
  <c r="C32" i="9"/>
  <c r="AD75" i="9"/>
  <c r="AJ75" i="9"/>
  <c r="AI75" i="9"/>
  <c r="AC75" i="9"/>
  <c r="AN75" i="9"/>
  <c r="AG75" i="9"/>
  <c r="AK75" i="9"/>
  <c r="AQ75" i="9"/>
  <c r="AH75" i="9"/>
  <c r="AE75" i="9"/>
  <c r="AP75" i="9"/>
  <c r="AO75" i="9"/>
  <c r="AQ81" i="9"/>
  <c r="AP81" i="9"/>
  <c r="C12" i="17"/>
  <c r="AE81" i="9"/>
  <c r="AO81" i="9"/>
  <c r="AM81" i="9"/>
  <c r="AK81" i="9"/>
  <c r="AN81" i="9"/>
  <c r="AJ81" i="9"/>
  <c r="AR81" i="9"/>
  <c r="AL81" i="9"/>
  <c r="AG81" i="9"/>
  <c r="AF81" i="9"/>
  <c r="AH81" i="9"/>
  <c r="AD81" i="9"/>
  <c r="C38" i="9"/>
  <c r="AC81" i="9"/>
  <c r="U81" i="9"/>
  <c r="AI81" i="9"/>
  <c r="C59" i="9"/>
  <c r="P45" i="12"/>
  <c r="Q45" i="12" s="1"/>
  <c r="E21" i="62" s="1"/>
  <c r="C93" i="62" s="1"/>
  <c r="N42" i="12"/>
  <c r="AB13" i="9"/>
  <c r="N40" i="12"/>
  <c r="AB11" i="9"/>
  <c r="AC9" i="9"/>
  <c r="AC25" i="9" s="1"/>
  <c r="AL2" i="9" s="1"/>
  <c r="AA25" i="9"/>
  <c r="AD10" i="9"/>
  <c r="AF10" i="9"/>
  <c r="N41" i="12"/>
  <c r="AB12" i="9"/>
  <c r="AF20" i="9"/>
  <c r="AD20" i="9"/>
  <c r="AE14" i="9"/>
  <c r="AE15" i="9"/>
  <c r="AE9" i="9"/>
  <c r="H14" i="61"/>
  <c r="H26" i="61" s="1"/>
  <c r="G26" i="61"/>
  <c r="O32" i="12" s="1"/>
  <c r="AD18" i="9"/>
  <c r="AF18" i="9"/>
  <c r="AB9" i="9"/>
  <c r="N38" i="12"/>
  <c r="J26" i="61"/>
  <c r="AC93" i="62"/>
  <c r="C61" i="9"/>
  <c r="P47" i="12"/>
  <c r="Q47" i="12" s="1"/>
  <c r="E23" i="62" s="1"/>
  <c r="C73" i="9"/>
  <c r="O51" i="12"/>
  <c r="N46" i="12"/>
  <c r="AB17" i="9"/>
  <c r="C53" i="9"/>
  <c r="P39" i="12"/>
  <c r="Q39" i="12" s="1"/>
  <c r="E15" i="62" s="1"/>
  <c r="N43" i="12"/>
  <c r="AB14" i="9"/>
  <c r="AO79" i="9"/>
  <c r="AN79" i="9"/>
  <c r="AD79" i="9"/>
  <c r="AE79" i="9"/>
  <c r="AK79" i="9"/>
  <c r="AQ79" i="9"/>
  <c r="AC79" i="9"/>
  <c r="AR79" i="9"/>
  <c r="AP79" i="9"/>
  <c r="AI79" i="9"/>
  <c r="AH79" i="9"/>
  <c r="AM79" i="9"/>
  <c r="C10" i="17"/>
  <c r="U79" i="9"/>
  <c r="C36" i="9"/>
  <c r="AF79" i="9"/>
  <c r="AJ79" i="9"/>
  <c r="AG79" i="9"/>
  <c r="AL79" i="9"/>
  <c r="AK77" i="9"/>
  <c r="AL77" i="9"/>
  <c r="AR77" i="9"/>
  <c r="AM77" i="9"/>
  <c r="AI77" i="9"/>
  <c r="AE77" i="9"/>
  <c r="AG77" i="9"/>
  <c r="AD77" i="9"/>
  <c r="U77" i="9"/>
  <c r="AO77" i="9"/>
  <c r="AP77" i="9"/>
  <c r="C8" i="17"/>
  <c r="AJ77" i="9"/>
  <c r="AC77" i="9"/>
  <c r="AN77" i="9"/>
  <c r="C34" i="9"/>
  <c r="AF77" i="9"/>
  <c r="AH77" i="9"/>
  <c r="AQ77" i="9"/>
  <c r="P49" i="12"/>
  <c r="Q49" i="12" s="1"/>
  <c r="E25" i="62" s="1"/>
  <c r="C63" i="9"/>
  <c r="AH95" i="62"/>
  <c r="AF16" i="9"/>
  <c r="AD16" i="9"/>
  <c r="AI76" i="9"/>
  <c r="AM76" i="9"/>
  <c r="AR76" i="9"/>
  <c r="AC76" i="9"/>
  <c r="AE76" i="9"/>
  <c r="AO76" i="9"/>
  <c r="AN76" i="9"/>
  <c r="C33" i="9"/>
  <c r="AG76" i="9"/>
  <c r="AL76" i="9"/>
  <c r="C7" i="17"/>
  <c r="AJ76" i="9"/>
  <c r="AK76" i="9"/>
  <c r="AH76" i="9"/>
  <c r="AP76" i="9"/>
  <c r="AQ76" i="9"/>
  <c r="AF76" i="9"/>
  <c r="AD76" i="9"/>
  <c r="AN78" i="9"/>
  <c r="AF78" i="9"/>
  <c r="C9" i="17"/>
  <c r="AK78" i="9"/>
  <c r="AM78" i="9"/>
  <c r="AO78" i="9"/>
  <c r="U78" i="9"/>
  <c r="AR78" i="9"/>
  <c r="AQ78" i="9"/>
  <c r="AE78" i="9"/>
  <c r="AI78" i="9"/>
  <c r="AP78" i="9"/>
  <c r="AC78" i="9"/>
  <c r="C35" i="9"/>
  <c r="AH78" i="9"/>
  <c r="AG78" i="9"/>
  <c r="AD78" i="9"/>
  <c r="AL78" i="9"/>
  <c r="AJ78" i="9"/>
  <c r="N44" i="12"/>
  <c r="AB15" i="9"/>
  <c r="AF87" i="62"/>
  <c r="BC93" i="62"/>
  <c r="AE93" i="62"/>
  <c r="Z87" i="62"/>
  <c r="AO93" i="62"/>
  <c r="AK93" i="62"/>
  <c r="BG87" i="62"/>
  <c r="AR87" i="62"/>
  <c r="BB87" i="62"/>
  <c r="AJ87" i="62"/>
  <c r="E87" i="62"/>
  <c r="K87" i="62"/>
  <c r="BG96" i="62"/>
  <c r="Y96" i="62"/>
  <c r="U96" i="62"/>
  <c r="W96" i="62"/>
  <c r="AY96" i="62"/>
  <c r="G96" i="62"/>
  <c r="K96" i="62"/>
  <c r="BL96" i="62"/>
  <c r="M96" i="62"/>
  <c r="R96" i="62"/>
  <c r="AU96" i="62"/>
  <c r="AO96" i="62"/>
  <c r="BE96" i="62"/>
  <c r="BJ96" i="62"/>
  <c r="AJ96" i="62"/>
  <c r="AE96" i="62"/>
  <c r="L96" i="62"/>
  <c r="BF96" i="62"/>
  <c r="BH96" i="62"/>
  <c r="C96" i="62"/>
  <c r="AB96" i="62"/>
  <c r="Z96" i="62"/>
  <c r="D96" i="62"/>
  <c r="AC96" i="62"/>
  <c r="BD96" i="62"/>
  <c r="AL96" i="62"/>
  <c r="BM96" i="62"/>
  <c r="T96" i="62"/>
  <c r="AG96" i="62"/>
  <c r="AF96" i="62"/>
  <c r="AZ96" i="62"/>
  <c r="J96" i="62"/>
  <c r="AX96" i="62"/>
  <c r="BB96" i="62"/>
  <c r="F96" i="62"/>
  <c r="X96" i="62"/>
  <c r="BI96" i="62"/>
  <c r="BC96" i="62"/>
  <c r="AV96" i="62"/>
  <c r="AQ96" i="62"/>
  <c r="AP96" i="62"/>
  <c r="AN96" i="62"/>
  <c r="P96" i="62"/>
  <c r="H96" i="62"/>
  <c r="S96" i="62"/>
  <c r="AK96" i="62"/>
  <c r="V96" i="62"/>
  <c r="O96" i="62"/>
  <c r="BI93" i="62"/>
  <c r="W93" i="62"/>
  <c r="AP93" i="62"/>
  <c r="BE93" i="62"/>
  <c r="M93" i="62"/>
  <c r="AF93" i="62"/>
  <c r="BB93" i="62"/>
  <c r="AU93" i="62"/>
  <c r="BK93" i="62"/>
  <c r="BD93" i="62"/>
  <c r="BH93" i="62"/>
  <c r="AZ93" i="62"/>
  <c r="N93" i="62"/>
  <c r="AL93" i="62"/>
  <c r="AB93" i="62"/>
  <c r="D93" i="62"/>
  <c r="AT93" i="62"/>
  <c r="AR93" i="62"/>
  <c r="AG93" i="62"/>
  <c r="Q93" i="62"/>
  <c r="AW93" i="62"/>
  <c r="T93" i="62"/>
  <c r="K93" i="62"/>
  <c r="U93" i="62"/>
  <c r="AO95" i="62"/>
  <c r="AS95" i="62"/>
  <c r="L95" i="62"/>
  <c r="D95" i="62"/>
  <c r="AG95" i="62"/>
  <c r="AR95" i="62"/>
  <c r="J95" i="62"/>
  <c r="BJ95" i="62"/>
  <c r="E95" i="62"/>
  <c r="K95" i="62"/>
  <c r="BH95" i="62"/>
  <c r="BL95" i="62"/>
  <c r="AQ95" i="62"/>
  <c r="AU95" i="62"/>
  <c r="AT95" i="62"/>
  <c r="AX95" i="62"/>
  <c r="AL86" i="9"/>
  <c r="C87" i="9"/>
  <c r="AG86" i="9"/>
  <c r="AJ86" i="9"/>
  <c r="AO86" i="9"/>
  <c r="AR86" i="9"/>
  <c r="AH86" i="9"/>
  <c r="AN86" i="9"/>
  <c r="AD86" i="9"/>
  <c r="C17" i="17"/>
  <c r="C43" i="9"/>
  <c r="AC86" i="9"/>
  <c r="U86" i="9"/>
  <c r="AQ86" i="9"/>
  <c r="AP86" i="9"/>
  <c r="AE86" i="9"/>
  <c r="AI86" i="9"/>
  <c r="AM86" i="9"/>
  <c r="AK86" i="9"/>
  <c r="AF86" i="9"/>
  <c r="R93" i="62"/>
  <c r="Z93" i="62"/>
  <c r="G93" i="62"/>
  <c r="AH93" i="62"/>
  <c r="AS93" i="62"/>
  <c r="BO93" i="62"/>
  <c r="AA93" i="62"/>
  <c r="AX93" i="62"/>
  <c r="E93" i="62"/>
  <c r="AM93" i="62"/>
  <c r="BG93" i="62"/>
  <c r="O93" i="62"/>
  <c r="AI95" i="62"/>
  <c r="V95" i="62"/>
  <c r="Z95" i="62"/>
  <c r="BD95" i="62"/>
  <c r="AN95" i="62"/>
  <c r="AK95" i="62"/>
  <c r="X95" i="62"/>
  <c r="S95" i="62"/>
  <c r="AP95" i="62"/>
  <c r="BI95" i="62"/>
  <c r="BF95" i="62"/>
  <c r="AM95" i="62"/>
  <c r="AA95" i="62"/>
  <c r="I95" i="62"/>
  <c r="AW95" i="62"/>
  <c r="AP16" i="17"/>
  <c r="AB37" i="17"/>
  <c r="AE16" i="17"/>
  <c r="AO16" i="17"/>
  <c r="AC16" i="17"/>
  <c r="AJ16" i="17"/>
  <c r="AK16" i="17"/>
  <c r="AN16" i="17"/>
  <c r="AF16" i="17"/>
  <c r="AQ16" i="17"/>
  <c r="AM16" i="17"/>
  <c r="AI16" i="17"/>
  <c r="U16" i="17"/>
  <c r="AH16" i="17"/>
  <c r="AG16" i="17"/>
  <c r="AD16" i="17"/>
  <c r="AL16" i="17"/>
  <c r="AR16" i="17"/>
  <c r="J93" i="62"/>
  <c r="BJ93" i="62"/>
  <c r="AV93" i="62"/>
  <c r="P93" i="62"/>
  <c r="BN93" i="62"/>
  <c r="AQ93" i="62"/>
  <c r="AY93" i="62"/>
  <c r="X93" i="62"/>
  <c r="H93" i="62"/>
  <c r="L93" i="62"/>
  <c r="BM93" i="62"/>
  <c r="BL93" i="62"/>
  <c r="BA93" i="62"/>
  <c r="AN93" i="62"/>
  <c r="V93" i="62"/>
  <c r="J77" i="62"/>
  <c r="K77" i="62" s="1"/>
  <c r="C25" i="62" s="1"/>
  <c r="E15" i="60"/>
  <c r="Q54" i="12" s="1"/>
  <c r="K20" i="60"/>
  <c r="E15" i="59"/>
  <c r="K20" i="59"/>
  <c r="H100" i="57"/>
  <c r="H101" i="57" s="1"/>
  <c r="I90" i="57"/>
  <c r="AL7" i="17" l="1"/>
  <c r="AF7" i="17"/>
  <c r="AE7" i="17"/>
  <c r="AJ7" i="17"/>
  <c r="AM7" i="17"/>
  <c r="AB28" i="17"/>
  <c r="AD7" i="17"/>
  <c r="AH7" i="17"/>
  <c r="AP7" i="17"/>
  <c r="AO7" i="17"/>
  <c r="AI7" i="17"/>
  <c r="AN7" i="17"/>
  <c r="AR7" i="17"/>
  <c r="AK7" i="17"/>
  <c r="AC7" i="17"/>
  <c r="AQ7" i="17"/>
  <c r="AG7" i="17"/>
  <c r="C10" i="35"/>
  <c r="M15" i="62"/>
  <c r="AA87" i="62"/>
  <c r="BH87" i="62"/>
  <c r="AI87" i="62"/>
  <c r="AO87" i="62"/>
  <c r="AS87" i="62"/>
  <c r="BD87" i="62"/>
  <c r="BJ87" i="62"/>
  <c r="D87" i="62"/>
  <c r="I87" i="62"/>
  <c r="AT87" i="62"/>
  <c r="N87" i="62"/>
  <c r="BI87" i="62"/>
  <c r="AD87" i="62"/>
  <c r="AQ87" i="62"/>
  <c r="AB87" i="62"/>
  <c r="Y87" i="62"/>
  <c r="L87" i="62"/>
  <c r="BM87" i="62"/>
  <c r="AG87" i="62"/>
  <c r="BO87" i="62"/>
  <c r="J87" i="62"/>
  <c r="X87" i="62"/>
  <c r="BA87" i="62"/>
  <c r="U87" i="62"/>
  <c r="BN87" i="62"/>
  <c r="AY87" i="62"/>
  <c r="F87" i="62"/>
  <c r="O87" i="62"/>
  <c r="AH87" i="62"/>
  <c r="R87" i="62"/>
  <c r="AC87" i="62"/>
  <c r="AE87" i="62"/>
  <c r="S87" i="62"/>
  <c r="Q87" i="62"/>
  <c r="AK87" i="62"/>
  <c r="C87" i="62"/>
  <c r="AN87" i="62"/>
  <c r="BC87" i="62"/>
  <c r="AZ87" i="62"/>
  <c r="AX87" i="62"/>
  <c r="AW87" i="62"/>
  <c r="V87" i="62"/>
  <c r="P87" i="62"/>
  <c r="T87" i="62"/>
  <c r="BK87" i="62"/>
  <c r="AP87" i="62"/>
  <c r="BL87" i="62"/>
  <c r="H87" i="62"/>
  <c r="BE87" i="62"/>
  <c r="BF87" i="62"/>
  <c r="AD9" i="9"/>
  <c r="AF9" i="9"/>
  <c r="AB25" i="9"/>
  <c r="M87" i="62"/>
  <c r="AV87" i="62"/>
  <c r="W87" i="62"/>
  <c r="AU87" i="62"/>
  <c r="C54" i="9"/>
  <c r="P40" i="12"/>
  <c r="Q40" i="12" s="1"/>
  <c r="E16" i="62" s="1"/>
  <c r="AO59" i="9"/>
  <c r="AN59" i="9"/>
  <c r="AE59" i="9"/>
  <c r="AR59" i="9"/>
  <c r="AG59" i="9"/>
  <c r="AI59" i="9"/>
  <c r="AC59" i="9"/>
  <c r="AF59" i="9"/>
  <c r="AJ59" i="9"/>
  <c r="AH59" i="9"/>
  <c r="AL59" i="9"/>
  <c r="U59" i="9"/>
  <c r="AM59" i="9"/>
  <c r="AK59" i="9"/>
  <c r="AD59" i="9"/>
  <c r="AQ59" i="9"/>
  <c r="AP59" i="9"/>
  <c r="Q32" i="12"/>
  <c r="B5" i="62" s="1"/>
  <c r="D24" i="62" s="1"/>
  <c r="O33" i="12"/>
  <c r="AD15" i="9"/>
  <c r="AF15" i="9"/>
  <c r="AM87" i="62"/>
  <c r="AL87" i="62"/>
  <c r="G87" i="62"/>
  <c r="P44" i="12"/>
  <c r="Q44" i="12" s="1"/>
  <c r="E20" i="62" s="1"/>
  <c r="C58" i="9"/>
  <c r="AN10" i="17"/>
  <c r="U10" i="17"/>
  <c r="AG10" i="17"/>
  <c r="AK10" i="17"/>
  <c r="AI10" i="17"/>
  <c r="AR10" i="17"/>
  <c r="AM10" i="17"/>
  <c r="AC10" i="17"/>
  <c r="AJ10" i="17"/>
  <c r="AE10" i="17"/>
  <c r="AH10" i="17"/>
  <c r="AO10" i="17"/>
  <c r="AQ10" i="17"/>
  <c r="AD10" i="17"/>
  <c r="AP10" i="17"/>
  <c r="AF10" i="17"/>
  <c r="AL10" i="17"/>
  <c r="AB31" i="17"/>
  <c r="AR53" i="9"/>
  <c r="AC53" i="9"/>
  <c r="AO53" i="9"/>
  <c r="AE53" i="9"/>
  <c r="AF53" i="9"/>
  <c r="AD53" i="9"/>
  <c r="AM53" i="9"/>
  <c r="AK53" i="9"/>
  <c r="AL53" i="9"/>
  <c r="AJ53" i="9"/>
  <c r="AG53" i="9"/>
  <c r="AQ53" i="9"/>
  <c r="AI53" i="9"/>
  <c r="AP53" i="9"/>
  <c r="AH53" i="9"/>
  <c r="AN53" i="9"/>
  <c r="AF73" i="9"/>
  <c r="AP73" i="9"/>
  <c r="AH73" i="9"/>
  <c r="AL73" i="9"/>
  <c r="AO73" i="9"/>
  <c r="AK73" i="9"/>
  <c r="AJ73" i="9"/>
  <c r="AI73" i="9"/>
  <c r="AE73" i="9"/>
  <c r="AG73" i="9"/>
  <c r="AD73" i="9"/>
  <c r="AM73" i="9"/>
  <c r="AQ73" i="9"/>
  <c r="AN73" i="9"/>
  <c r="AR73" i="9"/>
  <c r="C4" i="17"/>
  <c r="C30" i="9"/>
  <c r="AC73" i="9"/>
  <c r="AF12" i="9"/>
  <c r="AD12" i="9"/>
  <c r="AF13" i="9"/>
  <c r="AD13" i="9"/>
  <c r="AC12" i="17"/>
  <c r="AK12" i="17"/>
  <c r="AI12" i="17"/>
  <c r="AG12" i="17"/>
  <c r="AN12" i="17"/>
  <c r="AE12" i="17"/>
  <c r="AM12" i="17"/>
  <c r="AR12" i="17"/>
  <c r="U12" i="17"/>
  <c r="AP12" i="17"/>
  <c r="AJ12" i="17"/>
  <c r="AB33" i="17"/>
  <c r="AQ12" i="17"/>
  <c r="AD12" i="17"/>
  <c r="AF12" i="17"/>
  <c r="AH12" i="17"/>
  <c r="AL12" i="17"/>
  <c r="AO12" i="17"/>
  <c r="AG6" i="17"/>
  <c r="AJ6" i="17"/>
  <c r="AD6" i="17"/>
  <c r="AL6" i="17"/>
  <c r="AK6" i="17"/>
  <c r="AN6" i="17"/>
  <c r="AI6" i="17"/>
  <c r="AO6" i="17"/>
  <c r="AF6" i="17"/>
  <c r="AB27" i="17"/>
  <c r="AC6" i="17"/>
  <c r="AR6" i="17"/>
  <c r="AH6" i="17"/>
  <c r="AQ6" i="17"/>
  <c r="AM6" i="17"/>
  <c r="AE6" i="17"/>
  <c r="AP6" i="17"/>
  <c r="S93" i="62"/>
  <c r="AQ9" i="17"/>
  <c r="AI9" i="17"/>
  <c r="AC9" i="17"/>
  <c r="AF9" i="17"/>
  <c r="AE9" i="17"/>
  <c r="AK9" i="17"/>
  <c r="AN9" i="17"/>
  <c r="AL9" i="17"/>
  <c r="AO9" i="17"/>
  <c r="AJ9" i="17"/>
  <c r="AD9" i="17"/>
  <c r="AR9" i="17"/>
  <c r="AP9" i="17"/>
  <c r="AH9" i="17"/>
  <c r="AM9" i="17"/>
  <c r="AG9" i="17"/>
  <c r="U9" i="17"/>
  <c r="AB30" i="17"/>
  <c r="AH63" i="9"/>
  <c r="AP63" i="9"/>
  <c r="AL63" i="9"/>
  <c r="AF63" i="9"/>
  <c r="C64" i="9"/>
  <c r="AR63" i="9"/>
  <c r="AC63" i="9"/>
  <c r="AO63" i="9"/>
  <c r="AI63" i="9"/>
  <c r="AG63" i="9"/>
  <c r="AE63" i="9"/>
  <c r="U63" i="9"/>
  <c r="AD63" i="9"/>
  <c r="AM63" i="9"/>
  <c r="AN63" i="9"/>
  <c r="AQ63" i="9"/>
  <c r="AJ63" i="9"/>
  <c r="AK63" i="9"/>
  <c r="AD14" i="9"/>
  <c r="AF14" i="9"/>
  <c r="AF17" i="9"/>
  <c r="AD17" i="9"/>
  <c r="C18" i="35"/>
  <c r="D23" i="62"/>
  <c r="M23" i="62"/>
  <c r="N23" i="62" s="1"/>
  <c r="AB95" i="62"/>
  <c r="AL95" i="62"/>
  <c r="U95" i="62"/>
  <c r="BG95" i="62"/>
  <c r="BA95" i="62"/>
  <c r="W95" i="62"/>
  <c r="BM95" i="62"/>
  <c r="Q95" i="62"/>
  <c r="AE95" i="62"/>
  <c r="F95" i="62"/>
  <c r="AD95" i="62"/>
  <c r="BK95" i="62"/>
  <c r="BO95" i="62"/>
  <c r="AC95" i="62"/>
  <c r="M95" i="62"/>
  <c r="H95" i="62"/>
  <c r="P95" i="62"/>
  <c r="G95" i="62"/>
  <c r="AZ95" i="62"/>
  <c r="R95" i="62"/>
  <c r="AJ95" i="62"/>
  <c r="C95" i="62"/>
  <c r="BB95" i="62"/>
  <c r="T95" i="62"/>
  <c r="BN95" i="62"/>
  <c r="AY95" i="62"/>
  <c r="BC95" i="62"/>
  <c r="BE95" i="62"/>
  <c r="AV95" i="62"/>
  <c r="O95" i="62"/>
  <c r="AF95" i="62"/>
  <c r="Y95" i="62"/>
  <c r="N95" i="62"/>
  <c r="C55" i="9"/>
  <c r="P41" i="12"/>
  <c r="Q41" i="12" s="1"/>
  <c r="E17" i="62" s="1"/>
  <c r="AE23" i="9"/>
  <c r="AE18" i="9"/>
  <c r="AE17" i="9"/>
  <c r="AE10" i="9"/>
  <c r="AE21" i="9"/>
  <c r="AE13" i="9"/>
  <c r="AE11" i="9"/>
  <c r="AL4" i="9"/>
  <c r="AE24" i="9"/>
  <c r="AE22" i="9"/>
  <c r="AE20" i="9"/>
  <c r="AE16" i="9"/>
  <c r="AE12" i="9"/>
  <c r="AE19" i="9"/>
  <c r="P42" i="12"/>
  <c r="Q42" i="12" s="1"/>
  <c r="E18" i="62" s="1"/>
  <c r="C56" i="9"/>
  <c r="D25" i="62"/>
  <c r="M25" i="62"/>
  <c r="N25" i="62" s="1"/>
  <c r="AD8" i="17"/>
  <c r="AJ8" i="17"/>
  <c r="AF8" i="17"/>
  <c r="AH8" i="17"/>
  <c r="AI8" i="17"/>
  <c r="AP8" i="17"/>
  <c r="AC8" i="17"/>
  <c r="AM8" i="17"/>
  <c r="AE8" i="17"/>
  <c r="AQ8" i="17"/>
  <c r="AL8" i="17"/>
  <c r="AK8" i="17"/>
  <c r="AG8" i="17"/>
  <c r="AO8" i="17"/>
  <c r="AB29" i="17"/>
  <c r="AN8" i="17"/>
  <c r="AR8" i="17"/>
  <c r="U8" i="17"/>
  <c r="C57" i="9"/>
  <c r="P43" i="12"/>
  <c r="Q43" i="12" s="1"/>
  <c r="E19" i="62" s="1"/>
  <c r="C60" i="9"/>
  <c r="P46" i="12"/>
  <c r="Q46" i="12" s="1"/>
  <c r="E22" i="62" s="1"/>
  <c r="AM61" i="9"/>
  <c r="AP61" i="9"/>
  <c r="AN61" i="9"/>
  <c r="AI61" i="9"/>
  <c r="AE61" i="9"/>
  <c r="AQ61" i="9"/>
  <c r="AJ61" i="9"/>
  <c r="U61" i="9"/>
  <c r="AF61" i="9"/>
  <c r="AD61" i="9"/>
  <c r="AO61" i="9"/>
  <c r="AR61" i="9"/>
  <c r="AH61" i="9"/>
  <c r="AL61" i="9"/>
  <c r="AG61" i="9"/>
  <c r="AK61" i="9"/>
  <c r="AC61" i="9"/>
  <c r="N51" i="12"/>
  <c r="C52" i="9"/>
  <c r="P38" i="12"/>
  <c r="AD11" i="9"/>
  <c r="AF11" i="9"/>
  <c r="C16" i="35"/>
  <c r="I93" i="62"/>
  <c r="AD93" i="62"/>
  <c r="AI93" i="62"/>
  <c r="F93" i="62"/>
  <c r="AJ93" i="62"/>
  <c r="M21" i="62"/>
  <c r="N21" i="62" s="1"/>
  <c r="Y93" i="62"/>
  <c r="BF93" i="62"/>
  <c r="AL17" i="17"/>
  <c r="AF17" i="17"/>
  <c r="AH17" i="17"/>
  <c r="AK17" i="17"/>
  <c r="AO17" i="17"/>
  <c r="AE17" i="17"/>
  <c r="AN17" i="17"/>
  <c r="AR17" i="17"/>
  <c r="U17" i="17"/>
  <c r="AB38" i="17"/>
  <c r="AD17" i="17"/>
  <c r="AG17" i="17"/>
  <c r="AJ17" i="17"/>
  <c r="AC17" i="17"/>
  <c r="AQ17" i="17"/>
  <c r="AI17" i="17"/>
  <c r="AP17" i="17"/>
  <c r="AM17" i="17"/>
  <c r="C89" i="9"/>
  <c r="AR87" i="9"/>
  <c r="AR89" i="9" s="1"/>
  <c r="T89" i="9" s="1"/>
  <c r="AL87" i="9"/>
  <c r="AG87" i="9"/>
  <c r="AG89" i="9" s="1"/>
  <c r="I89" i="9" s="1"/>
  <c r="AQ87" i="9"/>
  <c r="AQ89" i="9" s="1"/>
  <c r="S89" i="9" s="1"/>
  <c r="AH87" i="9"/>
  <c r="AH89" i="9" s="1"/>
  <c r="J89" i="9" s="1"/>
  <c r="AJ87" i="9"/>
  <c r="AJ89" i="9" s="1"/>
  <c r="L89" i="9" s="1"/>
  <c r="AN87" i="9"/>
  <c r="AN89" i="9" s="1"/>
  <c r="P89" i="9" s="1"/>
  <c r="AP87" i="9"/>
  <c r="AP89" i="9" s="1"/>
  <c r="R89" i="9" s="1"/>
  <c r="C44" i="9"/>
  <c r="C18" i="17"/>
  <c r="AO87" i="9"/>
  <c r="AI87" i="9"/>
  <c r="AI89" i="9" s="1"/>
  <c r="K89" i="9" s="1"/>
  <c r="AD87" i="9"/>
  <c r="AD89" i="9" s="1"/>
  <c r="F89" i="9" s="1"/>
  <c r="AF87" i="9"/>
  <c r="U87" i="9"/>
  <c r="U89" i="9" s="1"/>
  <c r="AM87" i="9"/>
  <c r="AM89" i="9" s="1"/>
  <c r="O89" i="9" s="1"/>
  <c r="AK87" i="9"/>
  <c r="AK89" i="9" s="1"/>
  <c r="M89" i="9" s="1"/>
  <c r="AC87" i="9"/>
  <c r="AE87" i="9"/>
  <c r="AF97" i="62"/>
  <c r="Z97" i="62"/>
  <c r="AD97" i="62"/>
  <c r="AR97" i="62"/>
  <c r="BN97" i="62"/>
  <c r="J97" i="62"/>
  <c r="M97" i="62"/>
  <c r="F97" i="62"/>
  <c r="BJ97" i="62"/>
  <c r="AQ97" i="62"/>
  <c r="X97" i="62"/>
  <c r="AC97" i="62"/>
  <c r="D97" i="62"/>
  <c r="AY97" i="62"/>
  <c r="O97" i="62"/>
  <c r="AB97" i="62"/>
  <c r="AK97" i="62"/>
  <c r="I97" i="62"/>
  <c r="Y97" i="62"/>
  <c r="BC97" i="62"/>
  <c r="AO97" i="62"/>
  <c r="S97" i="62"/>
  <c r="AL97" i="62"/>
  <c r="K97" i="62"/>
  <c r="L97" i="62"/>
  <c r="BD97" i="62"/>
  <c r="BG97" i="62"/>
  <c r="C97" i="62"/>
  <c r="AP97" i="62"/>
  <c r="W97" i="62"/>
  <c r="AN97" i="62"/>
  <c r="AI97" i="62"/>
  <c r="E97" i="62"/>
  <c r="AX97" i="62"/>
  <c r="AJ97" i="62"/>
  <c r="AA97" i="62"/>
  <c r="AS97" i="62"/>
  <c r="AM97" i="62"/>
  <c r="BH97" i="62"/>
  <c r="AE97" i="62"/>
  <c r="BO97" i="62"/>
  <c r="U97" i="62"/>
  <c r="H97" i="62"/>
  <c r="BB97" i="62"/>
  <c r="BA97" i="62"/>
  <c r="BM97" i="62"/>
  <c r="AU97" i="62"/>
  <c r="AH97" i="62"/>
  <c r="P97" i="62"/>
  <c r="BI97" i="62"/>
  <c r="BL97" i="62"/>
  <c r="R97" i="62"/>
  <c r="BK97" i="62"/>
  <c r="AV97" i="62"/>
  <c r="AZ97" i="62"/>
  <c r="AT97" i="62"/>
  <c r="AW97" i="62"/>
  <c r="AG97" i="62"/>
  <c r="Q97" i="62"/>
  <c r="V97" i="62"/>
  <c r="N97" i="62"/>
  <c r="BE97" i="62"/>
  <c r="T97" i="62"/>
  <c r="G97" i="62"/>
  <c r="BF97" i="62"/>
  <c r="T32" i="12"/>
  <c r="T33" i="12" s="1"/>
  <c r="AG64" i="9" l="1"/>
  <c r="AI64" i="9"/>
  <c r="AR64" i="9"/>
  <c r="AM64" i="9"/>
  <c r="AP64" i="9"/>
  <c r="U64" i="9"/>
  <c r="AH64" i="9"/>
  <c r="AD64" i="9"/>
  <c r="AO64" i="9"/>
  <c r="AN64" i="9"/>
  <c r="AK64" i="9"/>
  <c r="AQ64" i="9"/>
  <c r="AL64" i="9"/>
  <c r="AJ64" i="9"/>
  <c r="AE64" i="9"/>
  <c r="AF64" i="9"/>
  <c r="AC64" i="9"/>
  <c r="C65" i="9"/>
  <c r="C15" i="35"/>
  <c r="BG92" i="62"/>
  <c r="BO92" i="62"/>
  <c r="F92" i="62"/>
  <c r="X92" i="62"/>
  <c r="U92" i="62"/>
  <c r="I92" i="62"/>
  <c r="D92" i="62"/>
  <c r="E92" i="62"/>
  <c r="AA92" i="62"/>
  <c r="AK92" i="62"/>
  <c r="S92" i="62"/>
  <c r="AC92" i="62"/>
  <c r="AN92" i="62"/>
  <c r="BM92" i="62"/>
  <c r="BJ92" i="62"/>
  <c r="N92" i="62"/>
  <c r="D20" i="62"/>
  <c r="AY92" i="62"/>
  <c r="AF92" i="62"/>
  <c r="BH92" i="62"/>
  <c r="BC92" i="62"/>
  <c r="AR92" i="62"/>
  <c r="L92" i="62"/>
  <c r="P92" i="62"/>
  <c r="AG92" i="62"/>
  <c r="M92" i="62"/>
  <c r="AB92" i="62"/>
  <c r="AZ92" i="62"/>
  <c r="T92" i="62"/>
  <c r="BB92" i="62"/>
  <c r="H92" i="62"/>
  <c r="AX92" i="62"/>
  <c r="BE92" i="62"/>
  <c r="AD92" i="62"/>
  <c r="AL92" i="62"/>
  <c r="BL92" i="62"/>
  <c r="BN92" i="62"/>
  <c r="AS92" i="62"/>
  <c r="AV92" i="62"/>
  <c r="BI92" i="62"/>
  <c r="BA92" i="62"/>
  <c r="AT92" i="62"/>
  <c r="W92" i="62"/>
  <c r="AJ92" i="62"/>
  <c r="K92" i="62"/>
  <c r="Y92" i="62"/>
  <c r="AP92" i="62"/>
  <c r="V92" i="62"/>
  <c r="R92" i="62"/>
  <c r="BK92" i="62"/>
  <c r="AU92" i="62"/>
  <c r="Q92" i="62"/>
  <c r="J92" i="62"/>
  <c r="AQ92" i="62"/>
  <c r="AM92" i="62"/>
  <c r="C92" i="62"/>
  <c r="BD92" i="62"/>
  <c r="M20" i="62"/>
  <c r="N20" i="62" s="1"/>
  <c r="G92" i="62"/>
  <c r="O92" i="62"/>
  <c r="Z92" i="62"/>
  <c r="AI92" i="62"/>
  <c r="AW92" i="62"/>
  <c r="BF92" i="62"/>
  <c r="AO92" i="62"/>
  <c r="AE92" i="62"/>
  <c r="AH92" i="62"/>
  <c r="AE89" i="9"/>
  <c r="G89" i="9" s="1"/>
  <c r="C17" i="35"/>
  <c r="M22" i="62"/>
  <c r="N22" i="62" s="1"/>
  <c r="D22" i="62"/>
  <c r="AQ94" i="62"/>
  <c r="H94" i="62"/>
  <c r="AY94" i="62"/>
  <c r="J94" i="62"/>
  <c r="AB94" i="62"/>
  <c r="BL94" i="62"/>
  <c r="BK94" i="62"/>
  <c r="AK94" i="62"/>
  <c r="BB94" i="62"/>
  <c r="AD94" i="62"/>
  <c r="R94" i="62"/>
  <c r="BF94" i="62"/>
  <c r="AH94" i="62"/>
  <c r="S94" i="62"/>
  <c r="AS94" i="62"/>
  <c r="BD94" i="62"/>
  <c r="BJ94" i="62"/>
  <c r="D94" i="62"/>
  <c r="BI94" i="62"/>
  <c r="AJ94" i="62"/>
  <c r="L94" i="62"/>
  <c r="V94" i="62"/>
  <c r="Y94" i="62"/>
  <c r="AX94" i="62"/>
  <c r="X94" i="62"/>
  <c r="AI94" i="62"/>
  <c r="AU94" i="62"/>
  <c r="U94" i="62"/>
  <c r="AA94" i="62"/>
  <c r="BH94" i="62"/>
  <c r="AT94" i="62"/>
  <c r="F94" i="62"/>
  <c r="BE94" i="62"/>
  <c r="AP94" i="62"/>
  <c r="BC94" i="62"/>
  <c r="N94" i="62"/>
  <c r="AN94" i="62"/>
  <c r="W94" i="62"/>
  <c r="AM94" i="62"/>
  <c r="AL94" i="62"/>
  <c r="AV94" i="62"/>
  <c r="E94" i="62"/>
  <c r="T94" i="62"/>
  <c r="I94" i="62"/>
  <c r="AO94" i="62"/>
  <c r="BG94" i="62"/>
  <c r="P94" i="62"/>
  <c r="BO94" i="62"/>
  <c r="G94" i="62"/>
  <c r="AG94" i="62"/>
  <c r="AW94" i="62"/>
  <c r="AZ94" i="62"/>
  <c r="BN94" i="62"/>
  <c r="AF94" i="62"/>
  <c r="AC94" i="62"/>
  <c r="BM94" i="62"/>
  <c r="AE94" i="62"/>
  <c r="M94" i="62"/>
  <c r="K94" i="62"/>
  <c r="C94" i="62"/>
  <c r="AR94" i="62"/>
  <c r="Q94" i="62"/>
  <c r="BA94" i="62"/>
  <c r="O94" i="62"/>
  <c r="Z94" i="62"/>
  <c r="AI56" i="9"/>
  <c r="AF56" i="9"/>
  <c r="AN56" i="9"/>
  <c r="AO56" i="9"/>
  <c r="AM56" i="9"/>
  <c r="AE56" i="9"/>
  <c r="AD56" i="9"/>
  <c r="AQ56" i="9"/>
  <c r="U56" i="9"/>
  <c r="AR56" i="9"/>
  <c r="AH56" i="9"/>
  <c r="AJ56" i="9"/>
  <c r="AG56" i="9"/>
  <c r="AC56" i="9"/>
  <c r="AL56" i="9"/>
  <c r="AP56" i="9"/>
  <c r="AK56" i="9"/>
  <c r="C12" i="35"/>
  <c r="BO89" i="62"/>
  <c r="E89" i="62"/>
  <c r="AF89" i="62"/>
  <c r="M17" i="62"/>
  <c r="AI89" i="62"/>
  <c r="R89" i="62"/>
  <c r="T89" i="62"/>
  <c r="U89" i="62"/>
  <c r="BD89" i="62"/>
  <c r="BL89" i="62"/>
  <c r="Y89" i="62"/>
  <c r="BI89" i="62"/>
  <c r="AS89" i="62"/>
  <c r="AY89" i="62"/>
  <c r="AK89" i="62"/>
  <c r="AH89" i="62"/>
  <c r="I89" i="62"/>
  <c r="AG89" i="62"/>
  <c r="G89" i="62"/>
  <c r="N89" i="62"/>
  <c r="D17" i="62"/>
  <c r="K89" i="62"/>
  <c r="AZ89" i="62"/>
  <c r="AW89" i="62"/>
  <c r="AO89" i="62"/>
  <c r="BA89" i="62"/>
  <c r="BK89" i="62"/>
  <c r="AL89" i="62"/>
  <c r="AT89" i="62"/>
  <c r="C89" i="62"/>
  <c r="W89" i="62"/>
  <c r="AJ89" i="62"/>
  <c r="BN89" i="62"/>
  <c r="AM89" i="62"/>
  <c r="P89" i="62"/>
  <c r="L89" i="62"/>
  <c r="J89" i="62"/>
  <c r="AV89" i="62"/>
  <c r="AN89" i="62"/>
  <c r="BH89" i="62"/>
  <c r="O89" i="62"/>
  <c r="H89" i="62"/>
  <c r="BB89" i="62"/>
  <c r="BG89" i="62"/>
  <c r="D89" i="62"/>
  <c r="AX89" i="62"/>
  <c r="AP89" i="62"/>
  <c r="V89" i="62"/>
  <c r="AC89" i="62"/>
  <c r="AQ89" i="62"/>
  <c r="M89" i="62"/>
  <c r="BF89" i="62"/>
  <c r="BE89" i="62"/>
  <c r="F89" i="62"/>
  <c r="AD89" i="62"/>
  <c r="AA89" i="62"/>
  <c r="AE89" i="62"/>
  <c r="X89" i="62"/>
  <c r="Q89" i="62"/>
  <c r="BJ89" i="62"/>
  <c r="AR89" i="62"/>
  <c r="Z89" i="62"/>
  <c r="AB89" i="62"/>
  <c r="S89" i="62"/>
  <c r="BM89" i="62"/>
  <c r="BC89" i="62"/>
  <c r="AU89" i="62"/>
  <c r="AN4" i="17"/>
  <c r="AJ4" i="17"/>
  <c r="AR4" i="17"/>
  <c r="AL4" i="17"/>
  <c r="AG4" i="17"/>
  <c r="AP4" i="17"/>
  <c r="AB25" i="17"/>
  <c r="AM4" i="17"/>
  <c r="AI4" i="17"/>
  <c r="AQ4" i="17"/>
  <c r="AD4" i="17"/>
  <c r="AK4" i="17"/>
  <c r="AH4" i="17"/>
  <c r="AC4" i="17"/>
  <c r="AO4" i="17"/>
  <c r="AF4" i="17"/>
  <c r="AE4" i="17"/>
  <c r="C11" i="35"/>
  <c r="M16" i="62"/>
  <c r="D16" i="62"/>
  <c r="AQ88" i="62"/>
  <c r="AT88" i="62"/>
  <c r="S88" i="62"/>
  <c r="AZ88" i="62"/>
  <c r="BE88" i="62"/>
  <c r="BO88" i="62"/>
  <c r="C88" i="62"/>
  <c r="BM88" i="62"/>
  <c r="Z88" i="62"/>
  <c r="AR88" i="62"/>
  <c r="I88" i="62"/>
  <c r="U88" i="62"/>
  <c r="X88" i="62"/>
  <c r="AO88" i="62"/>
  <c r="BL88" i="62"/>
  <c r="G88" i="62"/>
  <c r="Y88" i="62"/>
  <c r="V88" i="62"/>
  <c r="BN88" i="62"/>
  <c r="R88" i="62"/>
  <c r="AK88" i="62"/>
  <c r="AD88" i="62"/>
  <c r="AV88" i="62"/>
  <c r="W88" i="62"/>
  <c r="AP88" i="62"/>
  <c r="AC88" i="62"/>
  <c r="K88" i="62"/>
  <c r="M88" i="62"/>
  <c r="H88" i="62"/>
  <c r="P88" i="62"/>
  <c r="BG88" i="62"/>
  <c r="O88" i="62"/>
  <c r="AH88" i="62"/>
  <c r="AU88" i="62"/>
  <c r="Q88" i="62"/>
  <c r="N88" i="62"/>
  <c r="AY88" i="62"/>
  <c r="BK88" i="62"/>
  <c r="BF88" i="62"/>
  <c r="BB88" i="62"/>
  <c r="AB88" i="62"/>
  <c r="AG88" i="62"/>
  <c r="AM88" i="62"/>
  <c r="J88" i="62"/>
  <c r="BH88" i="62"/>
  <c r="AX88" i="62"/>
  <c r="AN88" i="62"/>
  <c r="L88" i="62"/>
  <c r="AI88" i="62"/>
  <c r="BA88" i="62"/>
  <c r="AF88" i="62"/>
  <c r="D88" i="62"/>
  <c r="BC88" i="62"/>
  <c r="F88" i="62"/>
  <c r="AJ88" i="62"/>
  <c r="AL88" i="62"/>
  <c r="BI88" i="62"/>
  <c r="BJ88" i="62"/>
  <c r="E88" i="62"/>
  <c r="BD88" i="62"/>
  <c r="AW88" i="62"/>
  <c r="T88" i="62"/>
  <c r="AS88" i="62"/>
  <c r="AA88" i="62"/>
  <c r="AE88" i="62"/>
  <c r="AD25" i="9"/>
  <c r="AC89" i="9"/>
  <c r="E89" i="9" s="1"/>
  <c r="AF89" i="9"/>
  <c r="H89" i="9" s="1"/>
  <c r="AL89" i="9"/>
  <c r="N89" i="9" s="1"/>
  <c r="D21" i="62"/>
  <c r="AZ16" i="35"/>
  <c r="BE16" i="35" s="1"/>
  <c r="AU16" i="35"/>
  <c r="AQ16" i="35"/>
  <c r="AP16" i="35"/>
  <c r="BA16" i="35"/>
  <c r="AR16" i="35"/>
  <c r="BC16" i="35"/>
  <c r="BD16" i="35"/>
  <c r="AW16" i="35"/>
  <c r="AS16" i="35"/>
  <c r="AV16" i="35"/>
  <c r="BB16" i="35"/>
  <c r="AT16" i="35"/>
  <c r="AY16" i="35"/>
  <c r="U16" i="35"/>
  <c r="AX16" i="35"/>
  <c r="AO16" i="35"/>
  <c r="AL52" i="9"/>
  <c r="AH52" i="9"/>
  <c r="AO52" i="9"/>
  <c r="AK52" i="9"/>
  <c r="AM52" i="9"/>
  <c r="AP52" i="9"/>
  <c r="AN52" i="9"/>
  <c r="AQ52" i="9"/>
  <c r="AI52" i="9"/>
  <c r="AE52" i="9"/>
  <c r="AG52" i="9"/>
  <c r="AF52" i="9"/>
  <c r="AR52" i="9"/>
  <c r="AC52" i="9"/>
  <c r="AJ52" i="9"/>
  <c r="AD52" i="9"/>
  <c r="AM60" i="9"/>
  <c r="AE60" i="9"/>
  <c r="AC60" i="9"/>
  <c r="AI60" i="9"/>
  <c r="AR60" i="9"/>
  <c r="AD60" i="9"/>
  <c r="U60" i="9"/>
  <c r="AO60" i="9"/>
  <c r="AH60" i="9"/>
  <c r="AL60" i="9"/>
  <c r="AF60" i="9"/>
  <c r="AG60" i="9"/>
  <c r="AN60" i="9"/>
  <c r="AK60" i="9"/>
  <c r="AJ60" i="9"/>
  <c r="AP60" i="9"/>
  <c r="AQ60" i="9"/>
  <c r="C13" i="35"/>
  <c r="D18" i="62"/>
  <c r="M18" i="62"/>
  <c r="N18" i="62" s="1"/>
  <c r="N26" i="62" s="1"/>
  <c r="AB90" i="62"/>
  <c r="AI90" i="62"/>
  <c r="BL90" i="62"/>
  <c r="H90" i="62"/>
  <c r="U90" i="62"/>
  <c r="AA90" i="62"/>
  <c r="F90" i="62"/>
  <c r="P90" i="62"/>
  <c r="BJ90" i="62"/>
  <c r="AG90" i="62"/>
  <c r="BK90" i="62"/>
  <c r="AK90" i="62"/>
  <c r="BI90" i="62"/>
  <c r="AE90" i="62"/>
  <c r="AH90" i="62"/>
  <c r="AQ90" i="62"/>
  <c r="BE90" i="62"/>
  <c r="AY90" i="62"/>
  <c r="AF90" i="62"/>
  <c r="BN90" i="62"/>
  <c r="AL90" i="62"/>
  <c r="K90" i="62"/>
  <c r="Q90" i="62"/>
  <c r="AT90" i="62"/>
  <c r="AZ90" i="62"/>
  <c r="AV90" i="62"/>
  <c r="O90" i="62"/>
  <c r="AW90" i="62"/>
  <c r="M90" i="62"/>
  <c r="AC90" i="62"/>
  <c r="AS90" i="62"/>
  <c r="W90" i="62"/>
  <c r="AR90" i="62"/>
  <c r="J90" i="62"/>
  <c r="N90" i="62"/>
  <c r="S90" i="62"/>
  <c r="BM90" i="62"/>
  <c r="T90" i="62"/>
  <c r="AN90" i="62"/>
  <c r="R90" i="62"/>
  <c r="AM90" i="62"/>
  <c r="X90" i="62"/>
  <c r="AD90" i="62"/>
  <c r="AX90" i="62"/>
  <c r="AO90" i="62"/>
  <c r="V90" i="62"/>
  <c r="Z90" i="62"/>
  <c r="G90" i="62"/>
  <c r="D90" i="62"/>
  <c r="L90" i="62"/>
  <c r="AJ90" i="62"/>
  <c r="E90" i="62"/>
  <c r="BH90" i="62"/>
  <c r="BO90" i="62"/>
  <c r="BA90" i="62"/>
  <c r="BB90" i="62"/>
  <c r="BC90" i="62"/>
  <c r="C90" i="62"/>
  <c r="AU90" i="62"/>
  <c r="BF90" i="62"/>
  <c r="AP90" i="62"/>
  <c r="I90" i="62"/>
  <c r="Y90" i="62"/>
  <c r="BD90" i="62"/>
  <c r="BG90" i="62"/>
  <c r="AK55" i="9"/>
  <c r="AR55" i="9"/>
  <c r="AG55" i="9"/>
  <c r="AF55" i="9"/>
  <c r="AN55" i="9"/>
  <c r="AD55" i="9"/>
  <c r="AH55" i="9"/>
  <c r="AP55" i="9"/>
  <c r="AE55" i="9"/>
  <c r="AI55" i="9"/>
  <c r="AQ55" i="9"/>
  <c r="AJ55" i="9"/>
  <c r="AO55" i="9"/>
  <c r="AL55" i="9"/>
  <c r="AM55" i="9"/>
  <c r="AC55" i="9"/>
  <c r="AY18" i="35"/>
  <c r="AZ18" i="35"/>
  <c r="BE18" i="35" s="1"/>
  <c r="AS18" i="35"/>
  <c r="AQ18" i="35"/>
  <c r="AX18" i="35"/>
  <c r="U18" i="35"/>
  <c r="AP18" i="35"/>
  <c r="AR18" i="35"/>
  <c r="AU18" i="35"/>
  <c r="BA18" i="35"/>
  <c r="BB18" i="35"/>
  <c r="BD18" i="35"/>
  <c r="AW18" i="35"/>
  <c r="AO18" i="35"/>
  <c r="AV18" i="35"/>
  <c r="BC18" i="35"/>
  <c r="AT18" i="35"/>
  <c r="AQ54" i="9"/>
  <c r="AE54" i="9"/>
  <c r="AH54" i="9"/>
  <c r="AJ54" i="9"/>
  <c r="AC54" i="9"/>
  <c r="AL54" i="9"/>
  <c r="AF54" i="9"/>
  <c r="AM54" i="9"/>
  <c r="AD54" i="9"/>
  <c r="AG54" i="9"/>
  <c r="AP54" i="9"/>
  <c r="AR54" i="9"/>
  <c r="AK54" i="9"/>
  <c r="AO54" i="9"/>
  <c r="AN54" i="9"/>
  <c r="AI54" i="9"/>
  <c r="BA10" i="35"/>
  <c r="AX10" i="35"/>
  <c r="BC10" i="35"/>
  <c r="AO10" i="35"/>
  <c r="BB10" i="35"/>
  <c r="AZ10" i="35"/>
  <c r="BE10" i="35" s="1"/>
  <c r="AT10" i="35"/>
  <c r="AR10" i="35"/>
  <c r="BD10" i="35"/>
  <c r="AQ10" i="35"/>
  <c r="AY10" i="35"/>
  <c r="AW10" i="35"/>
  <c r="AS10" i="35"/>
  <c r="AV10" i="35"/>
  <c r="AU10" i="35"/>
  <c r="AP10" i="35"/>
  <c r="AQ57" i="9"/>
  <c r="AG57" i="9"/>
  <c r="AL57" i="9"/>
  <c r="AJ57" i="9"/>
  <c r="AM57" i="9"/>
  <c r="AH57" i="9"/>
  <c r="AF57" i="9"/>
  <c r="AK57" i="9"/>
  <c r="AI57" i="9"/>
  <c r="AN57" i="9"/>
  <c r="AC57" i="9"/>
  <c r="AR57" i="9"/>
  <c r="AP57" i="9"/>
  <c r="U57" i="9"/>
  <c r="AE57" i="9"/>
  <c r="AO57" i="9"/>
  <c r="AD57" i="9"/>
  <c r="AF25" i="9"/>
  <c r="AO89" i="9"/>
  <c r="Q89" i="9" s="1"/>
  <c r="Q38" i="12"/>
  <c r="P51" i="12"/>
  <c r="AE25" i="9"/>
  <c r="C14" i="35"/>
  <c r="M19" i="62"/>
  <c r="N19" i="62" s="1"/>
  <c r="D19" i="62"/>
  <c r="W91" i="62"/>
  <c r="BA91" i="62"/>
  <c r="BB91" i="62"/>
  <c r="T91" i="62"/>
  <c r="AW91" i="62"/>
  <c r="AJ91" i="62"/>
  <c r="N91" i="62"/>
  <c r="BC91" i="62"/>
  <c r="BG91" i="62"/>
  <c r="AA91" i="62"/>
  <c r="BK91" i="62"/>
  <c r="AS91" i="62"/>
  <c r="AH91" i="62"/>
  <c r="I91" i="62"/>
  <c r="BF91" i="62"/>
  <c r="AR91" i="62"/>
  <c r="AF91" i="62"/>
  <c r="AK91" i="62"/>
  <c r="M91" i="62"/>
  <c r="AT91" i="62"/>
  <c r="H91" i="62"/>
  <c r="BM91" i="62"/>
  <c r="Y91" i="62"/>
  <c r="D91" i="62"/>
  <c r="AG91" i="62"/>
  <c r="AC91" i="62"/>
  <c r="AI91" i="62"/>
  <c r="G91" i="62"/>
  <c r="R91" i="62"/>
  <c r="AD91" i="62"/>
  <c r="AN91" i="62"/>
  <c r="AV91" i="62"/>
  <c r="BL91" i="62"/>
  <c r="AP91" i="62"/>
  <c r="L91" i="62"/>
  <c r="AZ91" i="62"/>
  <c r="BI91" i="62"/>
  <c r="Q91" i="62"/>
  <c r="F91" i="62"/>
  <c r="AQ91" i="62"/>
  <c r="BH91" i="62"/>
  <c r="BO91" i="62"/>
  <c r="S91" i="62"/>
  <c r="BN91" i="62"/>
  <c r="AO91" i="62"/>
  <c r="AX91" i="62"/>
  <c r="AY91" i="62"/>
  <c r="U91" i="62"/>
  <c r="AB91" i="62"/>
  <c r="AE91" i="62"/>
  <c r="AM91" i="62"/>
  <c r="E91" i="62"/>
  <c r="C91" i="62"/>
  <c r="BE91" i="62"/>
  <c r="BJ91" i="62"/>
  <c r="X91" i="62"/>
  <c r="Z91" i="62"/>
  <c r="J91" i="62"/>
  <c r="V91" i="62"/>
  <c r="AL91" i="62"/>
  <c r="BD91" i="62"/>
  <c r="K91" i="62"/>
  <c r="O91" i="62"/>
  <c r="P91" i="62"/>
  <c r="AU91" i="62"/>
  <c r="AL58" i="9"/>
  <c r="U58" i="9"/>
  <c r="AI58" i="9"/>
  <c r="AD58" i="9"/>
  <c r="AP58" i="9"/>
  <c r="AM58" i="9"/>
  <c r="AG58" i="9"/>
  <c r="AH58" i="9"/>
  <c r="AK58" i="9"/>
  <c r="AJ58" i="9"/>
  <c r="AQ58" i="9"/>
  <c r="AN58" i="9"/>
  <c r="AE58" i="9"/>
  <c r="AO58" i="9"/>
  <c r="AF58" i="9"/>
  <c r="AR58" i="9"/>
  <c r="AC58" i="9"/>
  <c r="D15" i="62"/>
  <c r="C20" i="17"/>
  <c r="G33" i="17" s="1"/>
  <c r="AG18" i="17"/>
  <c r="AG20" i="17" s="1"/>
  <c r="I20" i="17" s="1"/>
  <c r="AE18" i="17"/>
  <c r="AE20" i="17" s="1"/>
  <c r="G20" i="17" s="1"/>
  <c r="AB39" i="17"/>
  <c r="AM18" i="17"/>
  <c r="AM20" i="17" s="1"/>
  <c r="O20" i="17" s="1"/>
  <c r="AF18" i="17"/>
  <c r="AL18" i="17"/>
  <c r="AO18" i="17"/>
  <c r="AO20" i="17" s="1"/>
  <c r="Q20" i="17" s="1"/>
  <c r="AJ18" i="17"/>
  <c r="AJ20" i="17" s="1"/>
  <c r="L20" i="17" s="1"/>
  <c r="AQ18" i="17"/>
  <c r="AQ20" i="17" s="1"/>
  <c r="S20" i="17" s="1"/>
  <c r="AR18" i="17"/>
  <c r="AI18" i="17"/>
  <c r="AI20" i="17" s="1"/>
  <c r="K20" i="17" s="1"/>
  <c r="AK18" i="17"/>
  <c r="AK20" i="17" s="1"/>
  <c r="M20" i="17" s="1"/>
  <c r="AN18" i="17"/>
  <c r="AN20" i="17" s="1"/>
  <c r="P20" i="17" s="1"/>
  <c r="AH18" i="17"/>
  <c r="AH20" i="17" s="1"/>
  <c r="J20" i="17" s="1"/>
  <c r="AC18" i="17"/>
  <c r="AC20" i="17" s="1"/>
  <c r="E20" i="17" s="1"/>
  <c r="AD18" i="17"/>
  <c r="AD20" i="17" s="1"/>
  <c r="F20" i="17" s="1"/>
  <c r="U18" i="17"/>
  <c r="U20" i="17" s="1"/>
  <c r="AP18" i="17"/>
  <c r="AP20" i="17" s="1"/>
  <c r="R20" i="17" s="1"/>
  <c r="AP15" i="35" l="1"/>
  <c r="AQ15" i="35"/>
  <c r="AX15" i="35"/>
  <c r="AS15" i="35"/>
  <c r="BC15" i="35"/>
  <c r="BD15" i="35"/>
  <c r="AR15" i="35"/>
  <c r="AV15" i="35"/>
  <c r="AZ15" i="35"/>
  <c r="BE15" i="35" s="1"/>
  <c r="AU15" i="35"/>
  <c r="AW15" i="35"/>
  <c r="BB15" i="35"/>
  <c r="BA15" i="35"/>
  <c r="AO15" i="35"/>
  <c r="AT15" i="35"/>
  <c r="U15" i="35"/>
  <c r="AY15" i="35"/>
  <c r="AR20" i="17"/>
  <c r="T20" i="17" s="1"/>
  <c r="AL20" i="17"/>
  <c r="N20" i="17" s="1"/>
  <c r="E14" i="62"/>
  <c r="Q51" i="12"/>
  <c r="AX13" i="35"/>
  <c r="BC13" i="35"/>
  <c r="AO13" i="35"/>
  <c r="U13" i="35"/>
  <c r="AS13" i="35"/>
  <c r="AP13" i="35"/>
  <c r="AR13" i="35"/>
  <c r="BD13" i="35"/>
  <c r="AY13" i="35"/>
  <c r="AW13" i="35"/>
  <c r="AU13" i="35"/>
  <c r="AT13" i="35"/>
  <c r="AZ13" i="35"/>
  <c r="BE13" i="35" s="1"/>
  <c r="AQ13" i="35"/>
  <c r="AV13" i="35"/>
  <c r="BA13" i="35"/>
  <c r="BB13" i="35"/>
  <c r="BC11" i="35"/>
  <c r="BB11" i="35"/>
  <c r="AP11" i="35"/>
  <c r="AY11" i="35"/>
  <c r="BA11" i="35"/>
  <c r="AT11" i="35"/>
  <c r="BD11" i="35"/>
  <c r="AO11" i="35"/>
  <c r="AV11" i="35"/>
  <c r="AQ11" i="35"/>
  <c r="AU11" i="35"/>
  <c r="AW11" i="35"/>
  <c r="AS11" i="35"/>
  <c r="AR11" i="35"/>
  <c r="AZ11" i="35"/>
  <c r="BE11" i="35" s="1"/>
  <c r="AX11" i="35"/>
  <c r="AP65" i="9"/>
  <c r="AN65" i="9"/>
  <c r="AM65" i="9"/>
  <c r="AF65" i="9"/>
  <c r="AO65" i="9"/>
  <c r="AH65" i="9"/>
  <c r="AE65" i="9"/>
  <c r="AC65" i="9"/>
  <c r="U65" i="9"/>
  <c r="AK65" i="9"/>
  <c r="AQ65" i="9"/>
  <c r="C66" i="9"/>
  <c r="AG65" i="9"/>
  <c r="AR65" i="9"/>
  <c r="AJ65" i="9"/>
  <c r="AD65" i="9"/>
  <c r="AL65" i="9"/>
  <c r="AI65" i="9"/>
  <c r="AQ17" i="35"/>
  <c r="AX17" i="35"/>
  <c r="AP17" i="35"/>
  <c r="AU17" i="35"/>
  <c r="BB17" i="35"/>
  <c r="AO17" i="35"/>
  <c r="AY17" i="35"/>
  <c r="AZ17" i="35"/>
  <c r="BE17" i="35" s="1"/>
  <c r="BC17" i="35"/>
  <c r="U17" i="35"/>
  <c r="G5" i="26" s="1"/>
  <c r="BD17" i="35"/>
  <c r="AR17" i="35"/>
  <c r="AT17" i="35"/>
  <c r="BA17" i="35"/>
  <c r="AS17" i="35"/>
  <c r="AW17" i="35"/>
  <c r="AV17" i="35"/>
  <c r="AF20" i="17"/>
  <c r="H20" i="17" s="1"/>
  <c r="U14" i="35"/>
  <c r="AV14" i="35"/>
  <c r="AZ14" i="35"/>
  <c r="BE14" i="35" s="1"/>
  <c r="AY14" i="35"/>
  <c r="BC14" i="35"/>
  <c r="BD14" i="35"/>
  <c r="AX14" i="35"/>
  <c r="BB14" i="35"/>
  <c r="AR14" i="35"/>
  <c r="AP14" i="35"/>
  <c r="AW14" i="35"/>
  <c r="AT14" i="35"/>
  <c r="AQ14" i="35"/>
  <c r="AO14" i="35"/>
  <c r="BA14" i="35"/>
  <c r="AU14" i="35"/>
  <c r="AS14" i="35"/>
  <c r="AP12" i="35"/>
  <c r="BC12" i="35"/>
  <c r="AW12" i="35"/>
  <c r="AV12" i="35"/>
  <c r="AS12" i="35"/>
  <c r="AZ12" i="35"/>
  <c r="BE12" i="35" s="1"/>
  <c r="AY12" i="35"/>
  <c r="AQ12" i="35"/>
  <c r="BD12" i="35"/>
  <c r="AR12" i="35"/>
  <c r="AO12" i="35"/>
  <c r="AT12" i="35"/>
  <c r="AX12" i="35"/>
  <c r="BA12" i="35"/>
  <c r="BB12" i="35"/>
  <c r="AU12" i="35"/>
  <c r="AB41" i="17"/>
  <c r="C9" i="35" l="1"/>
  <c r="G86" i="62"/>
  <c r="G98" i="62" s="1"/>
  <c r="G99" i="62" s="1"/>
  <c r="BF86" i="62"/>
  <c r="BF98" i="62" s="1"/>
  <c r="BF99" i="62" s="1"/>
  <c r="P86" i="62"/>
  <c r="P98" i="62" s="1"/>
  <c r="P99" i="62" s="1"/>
  <c r="BO86" i="62"/>
  <c r="BO98" i="62" s="1"/>
  <c r="BO99" i="62" s="1"/>
  <c r="AG86" i="62"/>
  <c r="AG98" i="62" s="1"/>
  <c r="AG99" i="62" s="1"/>
  <c r="X86" i="62"/>
  <c r="X98" i="62" s="1"/>
  <c r="X99" i="62" s="1"/>
  <c r="X84" i="62" s="1"/>
  <c r="BN86" i="62"/>
  <c r="BN98" i="62" s="1"/>
  <c r="BN99" i="62" s="1"/>
  <c r="AE86" i="62"/>
  <c r="AE98" i="62" s="1"/>
  <c r="AE99" i="62" s="1"/>
  <c r="BH86" i="62"/>
  <c r="BH98" i="62" s="1"/>
  <c r="BH99" i="62" s="1"/>
  <c r="AV86" i="62"/>
  <c r="AV98" i="62" s="1"/>
  <c r="AV99" i="62" s="1"/>
  <c r="AC86" i="62"/>
  <c r="AC98" i="62" s="1"/>
  <c r="AC99" i="62" s="1"/>
  <c r="AC84" i="62" s="1"/>
  <c r="T86" i="62"/>
  <c r="T98" i="62" s="1"/>
  <c r="T99" i="62" s="1"/>
  <c r="Q86" i="62"/>
  <c r="Q98" i="62" s="1"/>
  <c r="Q99" i="62" s="1"/>
  <c r="D86" i="62"/>
  <c r="D98" i="62" s="1"/>
  <c r="D99" i="62" s="1"/>
  <c r="BB86" i="62"/>
  <c r="BB98" i="62" s="1"/>
  <c r="BB99" i="62" s="1"/>
  <c r="BB84" i="62" s="1"/>
  <c r="V86" i="62"/>
  <c r="V98" i="62" s="1"/>
  <c r="V99" i="62" s="1"/>
  <c r="AN86" i="62"/>
  <c r="AN98" i="62" s="1"/>
  <c r="AN99" i="62" s="1"/>
  <c r="M14" i="62"/>
  <c r="BK86" i="62"/>
  <c r="BK98" i="62" s="1"/>
  <c r="BK99" i="62" s="1"/>
  <c r="BK84" i="62" s="1"/>
  <c r="O86" i="62"/>
  <c r="O98" i="62" s="1"/>
  <c r="O99" i="62" s="1"/>
  <c r="BI86" i="62"/>
  <c r="BI98" i="62" s="1"/>
  <c r="BI99" i="62" s="1"/>
  <c r="AF86" i="62"/>
  <c r="AF98" i="62" s="1"/>
  <c r="AF99" i="62" s="1"/>
  <c r="AF84" i="62" s="1"/>
  <c r="L86" i="62"/>
  <c r="L98" i="62" s="1"/>
  <c r="L99" i="62" s="1"/>
  <c r="L84" i="62" s="1"/>
  <c r="AA86" i="62"/>
  <c r="AA98" i="62" s="1"/>
  <c r="AA99" i="62" s="1"/>
  <c r="AS86" i="62"/>
  <c r="AS98" i="62" s="1"/>
  <c r="AS99" i="62" s="1"/>
  <c r="AO86" i="62"/>
  <c r="AO98" i="62" s="1"/>
  <c r="AO99" i="62" s="1"/>
  <c r="J86" i="62"/>
  <c r="J98" i="62" s="1"/>
  <c r="J99" i="62" s="1"/>
  <c r="J84" i="62" s="1"/>
  <c r="AQ86" i="62"/>
  <c r="AQ98" i="62" s="1"/>
  <c r="AQ99" i="62" s="1"/>
  <c r="AR86" i="62"/>
  <c r="AR98" i="62" s="1"/>
  <c r="AR99" i="62" s="1"/>
  <c r="W86" i="62"/>
  <c r="W98" i="62" s="1"/>
  <c r="W99" i="62" s="1"/>
  <c r="W84" i="62" s="1"/>
  <c r="AI86" i="62"/>
  <c r="AI98" i="62" s="1"/>
  <c r="AI99" i="62" s="1"/>
  <c r="AI84" i="62" s="1"/>
  <c r="BC86" i="62"/>
  <c r="BC98" i="62" s="1"/>
  <c r="BC99" i="62" s="1"/>
  <c r="BG86" i="62"/>
  <c r="BG98" i="62" s="1"/>
  <c r="BG99" i="62" s="1"/>
  <c r="E26" i="62"/>
  <c r="E86" i="62"/>
  <c r="E98" i="62" s="1"/>
  <c r="E99" i="62" s="1"/>
  <c r="E84" i="62" s="1"/>
  <c r="M86" i="62"/>
  <c r="M98" i="62" s="1"/>
  <c r="M99" i="62" s="1"/>
  <c r="K86" i="62"/>
  <c r="K98" i="62" s="1"/>
  <c r="K99" i="62" s="1"/>
  <c r="BE86" i="62"/>
  <c r="BE98" i="62" s="1"/>
  <c r="BE99" i="62" s="1"/>
  <c r="Z86" i="62"/>
  <c r="Z98" i="62" s="1"/>
  <c r="Z99" i="62" s="1"/>
  <c r="Z84" i="62" s="1"/>
  <c r="H86" i="62"/>
  <c r="H98" i="62" s="1"/>
  <c r="H99" i="62" s="1"/>
  <c r="AL86" i="62"/>
  <c r="AL98" i="62" s="1"/>
  <c r="AL99" i="62" s="1"/>
  <c r="F86" i="62"/>
  <c r="F98" i="62" s="1"/>
  <c r="F99" i="62" s="1"/>
  <c r="BJ86" i="62"/>
  <c r="BJ98" i="62" s="1"/>
  <c r="BJ99" i="62" s="1"/>
  <c r="AT86" i="62"/>
  <c r="AT98" i="62" s="1"/>
  <c r="AT99" i="62" s="1"/>
  <c r="R86" i="62"/>
  <c r="R98" i="62" s="1"/>
  <c r="R99" i="62" s="1"/>
  <c r="BD86" i="62"/>
  <c r="BD98" i="62" s="1"/>
  <c r="BD99" i="62" s="1"/>
  <c r="BD84" i="62" s="1"/>
  <c r="AX86" i="62"/>
  <c r="AX98" i="62" s="1"/>
  <c r="AX99" i="62" s="1"/>
  <c r="AX84" i="62" s="1"/>
  <c r="AK86" i="62"/>
  <c r="AK98" i="62" s="1"/>
  <c r="AK99" i="62" s="1"/>
  <c r="AH86" i="62"/>
  <c r="AH98" i="62" s="1"/>
  <c r="AH99" i="62" s="1"/>
  <c r="AM86" i="62"/>
  <c r="AM98" i="62" s="1"/>
  <c r="AM99" i="62" s="1"/>
  <c r="AZ86" i="62"/>
  <c r="AZ98" i="62" s="1"/>
  <c r="AZ99" i="62" s="1"/>
  <c r="BL86" i="62"/>
  <c r="BL98" i="62" s="1"/>
  <c r="BL99" i="62" s="1"/>
  <c r="N86" i="62"/>
  <c r="N98" i="62" s="1"/>
  <c r="N99" i="62" s="1"/>
  <c r="AD86" i="62"/>
  <c r="AD98" i="62" s="1"/>
  <c r="AD99" i="62" s="1"/>
  <c r="AD84" i="62" s="1"/>
  <c r="AU86" i="62"/>
  <c r="AU98" i="62" s="1"/>
  <c r="AU99" i="62" s="1"/>
  <c r="AU84" i="62" s="1"/>
  <c r="AJ86" i="62"/>
  <c r="AJ98" i="62" s="1"/>
  <c r="AJ99" i="62" s="1"/>
  <c r="AW86" i="62"/>
  <c r="AW98" i="62" s="1"/>
  <c r="AW99" i="62" s="1"/>
  <c r="BA86" i="62"/>
  <c r="BA98" i="62" s="1"/>
  <c r="BA99" i="62" s="1"/>
  <c r="AY86" i="62"/>
  <c r="AY98" i="62" s="1"/>
  <c r="AY99" i="62" s="1"/>
  <c r="AY84" i="62" s="1"/>
  <c r="Y86" i="62"/>
  <c r="Y98" i="62" s="1"/>
  <c r="Y99" i="62" s="1"/>
  <c r="D14" i="62"/>
  <c r="D26" i="62" s="1"/>
  <c r="AP86" i="62"/>
  <c r="AP98" i="62" s="1"/>
  <c r="AP99" i="62" s="1"/>
  <c r="S86" i="62"/>
  <c r="S98" i="62" s="1"/>
  <c r="S99" i="62" s="1"/>
  <c r="BM86" i="62"/>
  <c r="BM98" i="62" s="1"/>
  <c r="BM99" i="62" s="1"/>
  <c r="AB86" i="62"/>
  <c r="AB98" i="62" s="1"/>
  <c r="AB99" i="62" s="1"/>
  <c r="I86" i="62"/>
  <c r="I98" i="62" s="1"/>
  <c r="I99" i="62" s="1"/>
  <c r="I84" i="62" s="1"/>
  <c r="C86" i="62"/>
  <c r="C98" i="62" s="1"/>
  <c r="C99" i="62" s="1"/>
  <c r="BP99" i="62" s="1"/>
  <c r="P84" i="62" s="1"/>
  <c r="U86" i="62"/>
  <c r="U98" i="62" s="1"/>
  <c r="U99" i="62" s="1"/>
  <c r="AN66" i="9"/>
  <c r="AN68" i="9" s="1"/>
  <c r="AL66" i="9"/>
  <c r="AL68" i="9" s="1"/>
  <c r="N68" i="9" s="1"/>
  <c r="AJ66" i="9"/>
  <c r="AJ68" i="9" s="1"/>
  <c r="L68" i="9" s="1"/>
  <c r="AQ66" i="9"/>
  <c r="AQ68" i="9" s="1"/>
  <c r="S68" i="9" s="1"/>
  <c r="N36" i="12" s="1"/>
  <c r="AP66" i="9"/>
  <c r="AP68" i="9" s="1"/>
  <c r="R68" i="9" s="1"/>
  <c r="AR66" i="9"/>
  <c r="AR68" i="9" s="1"/>
  <c r="T68" i="9" s="1"/>
  <c r="AK66" i="9"/>
  <c r="AK68" i="9" s="1"/>
  <c r="M68" i="9" s="1"/>
  <c r="AE66" i="9"/>
  <c r="AE68" i="9" s="1"/>
  <c r="G68" i="9" s="1"/>
  <c r="AC66" i="9"/>
  <c r="AC68" i="9" s="1"/>
  <c r="E68" i="9" s="1"/>
  <c r="O68" i="9" s="1"/>
  <c r="P68" i="9" s="1"/>
  <c r="U66" i="9"/>
  <c r="U68" i="9" s="1"/>
  <c r="N37" i="12" s="1"/>
  <c r="AF66" i="9"/>
  <c r="AF68" i="9" s="1"/>
  <c r="H68" i="9" s="1"/>
  <c r="AH66" i="9"/>
  <c r="AH68" i="9" s="1"/>
  <c r="J68" i="9" s="1"/>
  <c r="C68" i="9"/>
  <c r="AD66" i="9"/>
  <c r="AD68" i="9" s="1"/>
  <c r="F68" i="9" s="1"/>
  <c r="AI66" i="9"/>
  <c r="AI68" i="9" s="1"/>
  <c r="K68" i="9" s="1"/>
  <c r="AM66" i="9"/>
  <c r="AM68" i="9" s="1"/>
  <c r="AO66" i="9"/>
  <c r="AO68" i="9" s="1"/>
  <c r="Q68" i="9" s="1"/>
  <c r="AG66" i="9"/>
  <c r="AG68" i="9" s="1"/>
  <c r="I68" i="9" s="1"/>
  <c r="O84" i="62"/>
  <c r="AS84" i="62"/>
  <c r="F84" i="62"/>
  <c r="C84" i="62"/>
  <c r="S84" i="62"/>
  <c r="Q84" i="62"/>
  <c r="BN84" i="62"/>
  <c r="AZ84" i="62"/>
  <c r="BA84" i="62"/>
  <c r="BJ84" i="62"/>
  <c r="D84" i="62"/>
  <c r="AA84" i="62"/>
  <c r="BM84" i="62"/>
  <c r="BG84" i="62"/>
  <c r="AL84" i="62"/>
  <c r="AV84" i="62"/>
  <c r="C75" i="17"/>
  <c r="C71" i="17"/>
  <c r="C72" i="17"/>
  <c r="C83" i="17"/>
  <c r="N38" i="17"/>
  <c r="N24" i="17" s="1"/>
  <c r="C77" i="17"/>
  <c r="C74" i="17"/>
  <c r="C73" i="17"/>
  <c r="C70" i="17"/>
  <c r="C68" i="17"/>
  <c r="C79" i="17"/>
  <c r="C78" i="17"/>
  <c r="C69" i="17"/>
  <c r="C76" i="17"/>
  <c r="C80" i="17"/>
  <c r="C81" i="17"/>
  <c r="C82" i="17"/>
  <c r="BE84" i="62" l="1"/>
  <c r="H84" i="62"/>
  <c r="N84" i="62"/>
  <c r="AM84" i="62"/>
  <c r="AB84" i="62"/>
  <c r="R84" i="62"/>
  <c r="M84" i="62"/>
  <c r="AN84" i="62"/>
  <c r="AJ84" i="62"/>
  <c r="AG84" i="62"/>
  <c r="AK84" i="62"/>
  <c r="AH84" i="62"/>
  <c r="K84" i="62"/>
  <c r="AW84" i="62"/>
  <c r="AO84" i="62"/>
  <c r="T84" i="62"/>
  <c r="AR84" i="62"/>
  <c r="AP84" i="62"/>
  <c r="BF84" i="62"/>
  <c r="AC26" i="62"/>
  <c r="T26" i="62"/>
  <c r="U26" i="62"/>
  <c r="R26" i="62"/>
  <c r="AD26" i="62"/>
  <c r="AE26" i="62"/>
  <c r="AA26" i="62"/>
  <c r="V26" i="62"/>
  <c r="Q26" i="62"/>
  <c r="Y26" i="62"/>
  <c r="S26" i="62"/>
  <c r="M26" i="62"/>
  <c r="W26" i="62"/>
  <c r="X26" i="62" s="1"/>
  <c r="AB26" i="62"/>
  <c r="P26" i="62"/>
  <c r="Z26" i="62" s="1"/>
  <c r="BL84" i="62"/>
  <c r="AT84" i="62"/>
  <c r="Y84" i="62"/>
  <c r="AE84" i="62"/>
  <c r="G84" i="62"/>
  <c r="D11" i="62" s="1"/>
  <c r="BH84" i="62"/>
  <c r="V84" i="62"/>
  <c r="BI84" i="62"/>
  <c r="BO84" i="62"/>
  <c r="U84" i="62"/>
  <c r="BC84" i="62"/>
  <c r="AQ84" i="62"/>
  <c r="AZ9" i="35"/>
  <c r="BE9" i="35" s="1"/>
  <c r="AO9" i="35"/>
  <c r="AY9" i="35"/>
  <c r="AT9" i="35"/>
  <c r="AV9" i="35"/>
  <c r="BB9" i="35"/>
  <c r="AQ9" i="35"/>
  <c r="BA9" i="35"/>
  <c r="AX9" i="35"/>
  <c r="AU9" i="35"/>
  <c r="BC9" i="35"/>
  <c r="AP9" i="35"/>
  <c r="AW9" i="35"/>
  <c r="AR9" i="35"/>
  <c r="AS9" i="35"/>
  <c r="BD9" i="35"/>
  <c r="U78" i="17"/>
  <c r="AQ78" i="17"/>
  <c r="AI78" i="17"/>
  <c r="AG78" i="17"/>
  <c r="AO78" i="17"/>
  <c r="AR78" i="17"/>
  <c r="AP78" i="17"/>
  <c r="AD78" i="17"/>
  <c r="AE78" i="17"/>
  <c r="AK78" i="17"/>
  <c r="AL78" i="17"/>
  <c r="AM78" i="17"/>
  <c r="AC78" i="17"/>
  <c r="AF78" i="17"/>
  <c r="AJ78" i="17"/>
  <c r="AN78" i="17"/>
  <c r="AH78" i="17"/>
  <c r="AN83" i="17"/>
  <c r="AC83" i="17"/>
  <c r="AF83" i="17"/>
  <c r="AE83" i="17"/>
  <c r="AK83" i="17"/>
  <c r="AH83" i="17"/>
  <c r="AL83" i="17"/>
  <c r="AG83" i="17"/>
  <c r="AM83" i="17"/>
  <c r="AD83" i="17"/>
  <c r="AP83" i="17"/>
  <c r="AR83" i="17"/>
  <c r="AJ83" i="17"/>
  <c r="AI83" i="17"/>
  <c r="AO83" i="17"/>
  <c r="AQ83" i="17"/>
  <c r="AP79" i="17"/>
  <c r="AM79" i="17"/>
  <c r="AD79" i="17"/>
  <c r="AC79" i="17"/>
  <c r="AQ79" i="17"/>
  <c r="AF79" i="17"/>
  <c r="AR79" i="17"/>
  <c r="AH79" i="17"/>
  <c r="AO79" i="17"/>
  <c r="AK79" i="17"/>
  <c r="U79" i="17"/>
  <c r="AI79" i="17"/>
  <c r="AL79" i="17"/>
  <c r="AE79" i="17"/>
  <c r="AJ79" i="17"/>
  <c r="AG79" i="17"/>
  <c r="AN79" i="17"/>
  <c r="AP76" i="17"/>
  <c r="AN76" i="17"/>
  <c r="AF76" i="17"/>
  <c r="AG76" i="17"/>
  <c r="AK76" i="17"/>
  <c r="AL76" i="17"/>
  <c r="AR76" i="17"/>
  <c r="AC76" i="17"/>
  <c r="AD76" i="17"/>
  <c r="AJ76" i="17"/>
  <c r="AI76" i="17"/>
  <c r="AH76" i="17"/>
  <c r="AM76" i="17"/>
  <c r="U76" i="17"/>
  <c r="AE76" i="17"/>
  <c r="AQ76" i="17"/>
  <c r="AO76" i="17"/>
  <c r="AC68" i="17"/>
  <c r="AC84" i="17" s="1"/>
  <c r="E84" i="17" s="1"/>
  <c r="AG68" i="17"/>
  <c r="AG84" i="17" s="1"/>
  <c r="I84" i="17" s="1"/>
  <c r="C84" i="17"/>
  <c r="AM68" i="17"/>
  <c r="AM84" i="17" s="1"/>
  <c r="O84" i="17" s="1"/>
  <c r="AQ68" i="17"/>
  <c r="AQ84" i="17" s="1"/>
  <c r="S84" i="17" s="1"/>
  <c r="AJ68" i="17"/>
  <c r="AJ84" i="17" s="1"/>
  <c r="L84" i="17" s="1"/>
  <c r="AL68" i="17"/>
  <c r="AL84" i="17" s="1"/>
  <c r="N84" i="17" s="1"/>
  <c r="AI68" i="17"/>
  <c r="AI84" i="17" s="1"/>
  <c r="K84" i="17" s="1"/>
  <c r="AD68" i="17"/>
  <c r="AD84" i="17" s="1"/>
  <c r="F84" i="17" s="1"/>
  <c r="AE68" i="17"/>
  <c r="AE84" i="17" s="1"/>
  <c r="G84" i="17" s="1"/>
  <c r="AK68" i="17"/>
  <c r="AK84" i="17" s="1"/>
  <c r="M84" i="17" s="1"/>
  <c r="AH68" i="17"/>
  <c r="AH84" i="17" s="1"/>
  <c r="J84" i="17" s="1"/>
  <c r="AP68" i="17"/>
  <c r="AP84" i="17" s="1"/>
  <c r="R84" i="17" s="1"/>
  <c r="AF68" i="17"/>
  <c r="AF84" i="17" s="1"/>
  <c r="H84" i="17" s="1"/>
  <c r="AO68" i="17"/>
  <c r="AO84" i="17" s="1"/>
  <c r="Q84" i="17" s="1"/>
  <c r="AR68" i="17"/>
  <c r="AR84" i="17" s="1"/>
  <c r="T84" i="17" s="1"/>
  <c r="AN68" i="17"/>
  <c r="AN84" i="17" s="1"/>
  <c r="P84" i="17" s="1"/>
  <c r="AD77" i="17"/>
  <c r="AP77" i="17"/>
  <c r="AK77" i="17"/>
  <c r="AH77" i="17"/>
  <c r="AM77" i="17"/>
  <c r="AI77" i="17"/>
  <c r="AO77" i="17"/>
  <c r="U77" i="17"/>
  <c r="AN77" i="17"/>
  <c r="AL77" i="17"/>
  <c r="AQ77" i="17"/>
  <c r="AJ77" i="17"/>
  <c r="AC77" i="17"/>
  <c r="AE77" i="17"/>
  <c r="AR77" i="17"/>
  <c r="AF77" i="17"/>
  <c r="AG77" i="17"/>
  <c r="AD71" i="17"/>
  <c r="AJ71" i="17"/>
  <c r="AP71" i="17"/>
  <c r="AL71" i="17"/>
  <c r="AR71" i="17"/>
  <c r="AN71" i="17"/>
  <c r="AO71" i="17"/>
  <c r="AI71" i="17"/>
  <c r="AF71" i="17"/>
  <c r="AE71" i="17"/>
  <c r="AH71" i="17"/>
  <c r="AK71" i="17"/>
  <c r="AQ71" i="17"/>
  <c r="AM71" i="17"/>
  <c r="AC71" i="17"/>
  <c r="AG71" i="17"/>
  <c r="AN81" i="17"/>
  <c r="AF81" i="17"/>
  <c r="AG81" i="17"/>
  <c r="AC81" i="17"/>
  <c r="AL81" i="17"/>
  <c r="U81" i="17"/>
  <c r="AD81" i="17"/>
  <c r="AE81" i="17"/>
  <c r="AQ81" i="17"/>
  <c r="AO81" i="17"/>
  <c r="AP81" i="17"/>
  <c r="AM81" i="17"/>
  <c r="AR81" i="17"/>
  <c r="AK81" i="17"/>
  <c r="AJ81" i="17"/>
  <c r="AH81" i="17"/>
  <c r="AI81" i="17"/>
  <c r="AO73" i="17"/>
  <c r="AC73" i="17"/>
  <c r="AJ73" i="17"/>
  <c r="AP73" i="17"/>
  <c r="AG73" i="17"/>
  <c r="AD73" i="17"/>
  <c r="AE73" i="17"/>
  <c r="AF73" i="17"/>
  <c r="AR73" i="17"/>
  <c r="AL73" i="17"/>
  <c r="AK73" i="17"/>
  <c r="AI73" i="17"/>
  <c r="U73" i="17"/>
  <c r="AH73" i="17"/>
  <c r="AN73" i="17"/>
  <c r="AQ73" i="17"/>
  <c r="AM73" i="17"/>
  <c r="U80" i="17"/>
  <c r="AH80" i="17"/>
  <c r="AN80" i="17"/>
  <c r="AK80" i="17"/>
  <c r="AL80" i="17"/>
  <c r="AQ80" i="17"/>
  <c r="AO80" i="17"/>
  <c r="AJ80" i="17"/>
  <c r="AR80" i="17"/>
  <c r="AD80" i="17"/>
  <c r="AP80" i="17"/>
  <c r="AC80" i="17"/>
  <c r="AG80" i="17"/>
  <c r="AF80" i="17"/>
  <c r="AM80" i="17"/>
  <c r="AE80" i="17"/>
  <c r="AI80" i="17"/>
  <c r="AE74" i="17"/>
  <c r="AP74" i="17"/>
  <c r="AG74" i="17"/>
  <c r="AQ74" i="17"/>
  <c r="AR74" i="17"/>
  <c r="AK74" i="17"/>
  <c r="AC74" i="17"/>
  <c r="AO74" i="17"/>
  <c r="AM74" i="17"/>
  <c r="AH74" i="17"/>
  <c r="AN74" i="17"/>
  <c r="AL74" i="17"/>
  <c r="U74" i="17"/>
  <c r="AI74" i="17"/>
  <c r="AD74" i="17"/>
  <c r="AF74" i="17"/>
  <c r="AJ74" i="17"/>
  <c r="AN72" i="17"/>
  <c r="AH72" i="17"/>
  <c r="AI72" i="17"/>
  <c r="AD72" i="17"/>
  <c r="AE72" i="17"/>
  <c r="U72" i="17"/>
  <c r="U84" i="17" s="1"/>
  <c r="AC72" i="17"/>
  <c r="AK72" i="17"/>
  <c r="AF72" i="17"/>
  <c r="AJ72" i="17"/>
  <c r="AP72" i="17"/>
  <c r="AM72" i="17"/>
  <c r="AG72" i="17"/>
  <c r="AQ72" i="17"/>
  <c r="AL72" i="17"/>
  <c r="AO72" i="17"/>
  <c r="AR72" i="17"/>
  <c r="AH82" i="17"/>
  <c r="AN82" i="17"/>
  <c r="AI82" i="17"/>
  <c r="AD82" i="17"/>
  <c r="AQ82" i="17"/>
  <c r="AL82" i="17"/>
  <c r="AM82" i="17"/>
  <c r="AE82" i="17"/>
  <c r="AF82" i="17"/>
  <c r="AP82" i="17"/>
  <c r="AO82" i="17"/>
  <c r="U82" i="17"/>
  <c r="AJ82" i="17"/>
  <c r="AK82" i="17"/>
  <c r="AG82" i="17"/>
  <c r="AC82" i="17"/>
  <c r="AR82" i="17"/>
  <c r="AC69" i="17"/>
  <c r="AG69" i="17"/>
  <c r="AM69" i="17"/>
  <c r="AF69" i="17"/>
  <c r="AJ69" i="17"/>
  <c r="AN69" i="17"/>
  <c r="AK69" i="17"/>
  <c r="AE69" i="17"/>
  <c r="AD69" i="17"/>
  <c r="AH69" i="17"/>
  <c r="AL69" i="17"/>
  <c r="AO69" i="17"/>
  <c r="AQ69" i="17"/>
  <c r="AI69" i="17"/>
  <c r="AP69" i="17"/>
  <c r="AR69" i="17"/>
  <c r="AJ70" i="17"/>
  <c r="AF70" i="17"/>
  <c r="AI70" i="17"/>
  <c r="AG70" i="17"/>
  <c r="AL70" i="17"/>
  <c r="AM70" i="17"/>
  <c r="AC70" i="17"/>
  <c r="AP70" i="17"/>
  <c r="AK70" i="17"/>
  <c r="AH70" i="17"/>
  <c r="AE70" i="17"/>
  <c r="AQ70" i="17"/>
  <c r="AR70" i="17"/>
  <c r="AO70" i="17"/>
  <c r="AD70" i="17"/>
  <c r="AN70" i="17"/>
  <c r="C57" i="17"/>
  <c r="C49" i="17"/>
  <c r="C47" i="17"/>
  <c r="C59" i="17"/>
  <c r="C55" i="17"/>
  <c r="C50" i="17"/>
  <c r="C51" i="17"/>
  <c r="C52" i="17"/>
  <c r="C61" i="17"/>
  <c r="C58" i="17"/>
  <c r="C53" i="17"/>
  <c r="C48" i="17"/>
  <c r="C54" i="17"/>
  <c r="C56" i="17"/>
  <c r="C60" i="17"/>
  <c r="C62" i="17"/>
  <c r="AP75" i="17"/>
  <c r="AN75" i="17"/>
  <c r="AH75" i="17"/>
  <c r="AI75" i="17"/>
  <c r="AF75" i="17"/>
  <c r="AC75" i="17"/>
  <c r="AJ75" i="17"/>
  <c r="AE75" i="17"/>
  <c r="AL75" i="17"/>
  <c r="AK75" i="17"/>
  <c r="AR75" i="17"/>
  <c r="AD75" i="17"/>
  <c r="AM75" i="17"/>
  <c r="AG75" i="17"/>
  <c r="AO75" i="17"/>
  <c r="AQ75" i="17"/>
  <c r="U75" i="17"/>
  <c r="N29" i="35" l="1"/>
  <c r="N43" i="35" s="1"/>
  <c r="I15" i="62"/>
  <c r="I17" i="62"/>
  <c r="AA12" i="35" s="1"/>
  <c r="AC12" i="35" s="1"/>
  <c r="I14" i="62"/>
  <c r="AA9" i="35" s="1"/>
  <c r="AC9" i="35" s="1"/>
  <c r="I25" i="62"/>
  <c r="AA20" i="35" s="1"/>
  <c r="AC20" i="35" s="1"/>
  <c r="F16" i="62"/>
  <c r="Z11" i="35" s="1"/>
  <c r="F25" i="62"/>
  <c r="Z20" i="35" s="1"/>
  <c r="F17" i="62"/>
  <c r="Z12" i="35" s="1"/>
  <c r="Z25" i="35" s="1"/>
  <c r="F22" i="62"/>
  <c r="Z17" i="35" s="1"/>
  <c r="F24" i="62"/>
  <c r="Z19" i="35" s="1"/>
  <c r="F14" i="62"/>
  <c r="Z9" i="35" s="1"/>
  <c r="I18" i="62"/>
  <c r="C77" i="35" s="1"/>
  <c r="F15" i="62"/>
  <c r="Z10" i="35" s="1"/>
  <c r="I19" i="62"/>
  <c r="F21" i="62"/>
  <c r="Z16" i="35" s="1"/>
  <c r="I24" i="62"/>
  <c r="J24" i="62" s="1"/>
  <c r="F23" i="62"/>
  <c r="Z18" i="35" s="1"/>
  <c r="I22" i="62"/>
  <c r="F18" i="62"/>
  <c r="Z13" i="35" s="1"/>
  <c r="F19" i="62"/>
  <c r="Z14" i="35" s="1"/>
  <c r="F20" i="62"/>
  <c r="Z15" i="35" s="1"/>
  <c r="I21" i="62"/>
  <c r="AA2" i="35"/>
  <c r="AA3" i="35" s="1"/>
  <c r="I23" i="62"/>
  <c r="G23" i="62" s="1"/>
  <c r="H23" i="62" s="1"/>
  <c r="I16" i="62"/>
  <c r="I20" i="62"/>
  <c r="AA17" i="35"/>
  <c r="AC17" i="35" s="1"/>
  <c r="C81" i="35"/>
  <c r="AA16" i="35"/>
  <c r="AC16" i="35" s="1"/>
  <c r="C80" i="35"/>
  <c r="C84" i="35"/>
  <c r="C73" i="35"/>
  <c r="C76" i="35"/>
  <c r="AA10" i="35"/>
  <c r="AC10" i="35" s="1"/>
  <c r="C74" i="35"/>
  <c r="C67" i="35"/>
  <c r="C79" i="35"/>
  <c r="AA15" i="35"/>
  <c r="AC15" i="35" s="1"/>
  <c r="AA14" i="35"/>
  <c r="AC14" i="35" s="1"/>
  <c r="C78" i="35"/>
  <c r="C75" i="35"/>
  <c r="AA11" i="35"/>
  <c r="AC11" i="35" s="1"/>
  <c r="AA13" i="35"/>
  <c r="AC13" i="35" s="1"/>
  <c r="AE55" i="17"/>
  <c r="AC55" i="17"/>
  <c r="AI55" i="17"/>
  <c r="AJ55" i="17"/>
  <c r="AQ55" i="17"/>
  <c r="U55" i="17"/>
  <c r="AN55" i="17"/>
  <c r="AK55" i="17"/>
  <c r="AG55" i="17"/>
  <c r="AL55" i="17"/>
  <c r="AR55" i="17"/>
  <c r="AO55" i="17"/>
  <c r="AP55" i="17"/>
  <c r="AD55" i="17"/>
  <c r="AH55" i="17"/>
  <c r="AF55" i="17"/>
  <c r="AM55" i="17"/>
  <c r="AJ62" i="17"/>
  <c r="AK62" i="17"/>
  <c r="AP62" i="17"/>
  <c r="AN62" i="17"/>
  <c r="AL62" i="17"/>
  <c r="AQ62" i="17"/>
  <c r="AD62" i="17"/>
  <c r="AG62" i="17"/>
  <c r="AE62" i="17"/>
  <c r="AC62" i="17"/>
  <c r="AI62" i="17"/>
  <c r="AF62" i="17"/>
  <c r="AR62" i="17"/>
  <c r="AM62" i="17"/>
  <c r="AH62" i="17"/>
  <c r="AO62" i="17"/>
  <c r="AP48" i="17"/>
  <c r="AR48" i="17"/>
  <c r="AQ48" i="17"/>
  <c r="AF48" i="17"/>
  <c r="AE48" i="17"/>
  <c r="AC48" i="17"/>
  <c r="AD48" i="17"/>
  <c r="AG48" i="17"/>
  <c r="AL48" i="17"/>
  <c r="AO48" i="17"/>
  <c r="AK48" i="17"/>
  <c r="AH48" i="17"/>
  <c r="AI48" i="17"/>
  <c r="AN48" i="17"/>
  <c r="AM48" i="17"/>
  <c r="AJ48" i="17"/>
  <c r="AD52" i="17"/>
  <c r="AE52" i="17"/>
  <c r="AF52" i="17"/>
  <c r="AH52" i="17"/>
  <c r="AM52" i="17"/>
  <c r="AR52" i="17"/>
  <c r="AL52" i="17"/>
  <c r="AO52" i="17"/>
  <c r="AN52" i="17"/>
  <c r="AG52" i="17"/>
  <c r="AQ52" i="17"/>
  <c r="AJ52" i="17"/>
  <c r="AC52" i="17"/>
  <c r="AI52" i="17"/>
  <c r="U52" i="17"/>
  <c r="AP52" i="17"/>
  <c r="AK52" i="17"/>
  <c r="AJ59" i="17"/>
  <c r="AF59" i="17"/>
  <c r="AC59" i="17"/>
  <c r="AR59" i="17"/>
  <c r="AI59" i="17"/>
  <c r="AN59" i="17"/>
  <c r="AG59" i="17"/>
  <c r="AK59" i="17"/>
  <c r="U59" i="17"/>
  <c r="AE59" i="17"/>
  <c r="AM59" i="17"/>
  <c r="AO59" i="17"/>
  <c r="AH59" i="17"/>
  <c r="AP59" i="17"/>
  <c r="AQ59" i="17"/>
  <c r="AD59" i="17"/>
  <c r="AL59" i="17"/>
  <c r="AF54" i="17"/>
  <c r="AQ54" i="17"/>
  <c r="AP54" i="17"/>
  <c r="U54" i="17"/>
  <c r="AJ54" i="17"/>
  <c r="AE54" i="17"/>
  <c r="AH54" i="17"/>
  <c r="AR54" i="17"/>
  <c r="AD54" i="17"/>
  <c r="AO54" i="17"/>
  <c r="AM54" i="17"/>
  <c r="AG54" i="17"/>
  <c r="AK54" i="17"/>
  <c r="AI54" i="17"/>
  <c r="AL54" i="17"/>
  <c r="AN54" i="17"/>
  <c r="AC54" i="17"/>
  <c r="AD57" i="17"/>
  <c r="AG57" i="17"/>
  <c r="AC57" i="17"/>
  <c r="AN57" i="17"/>
  <c r="AL57" i="17"/>
  <c r="AI57" i="17"/>
  <c r="AQ57" i="17"/>
  <c r="AO57" i="17"/>
  <c r="AE57" i="17"/>
  <c r="AK57" i="17"/>
  <c r="AR57" i="17"/>
  <c r="AH57" i="17"/>
  <c r="U57" i="17"/>
  <c r="AM57" i="17"/>
  <c r="AF57" i="17"/>
  <c r="AP57" i="17"/>
  <c r="AJ57" i="17"/>
  <c r="AQ60" i="17"/>
  <c r="AM60" i="17"/>
  <c r="AN60" i="17"/>
  <c r="AE60" i="17"/>
  <c r="AG60" i="17"/>
  <c r="AR60" i="17"/>
  <c r="AO60" i="17"/>
  <c r="AJ60" i="17"/>
  <c r="U60" i="17"/>
  <c r="AP60" i="17"/>
  <c r="AF60" i="17"/>
  <c r="AC60" i="17"/>
  <c r="AK60" i="17"/>
  <c r="AI60" i="17"/>
  <c r="AL60" i="17"/>
  <c r="AD60" i="17"/>
  <c r="AH60" i="17"/>
  <c r="AR53" i="17"/>
  <c r="AF53" i="17"/>
  <c r="AQ53" i="17"/>
  <c r="AO53" i="17"/>
  <c r="AN53" i="17"/>
  <c r="AL53" i="17"/>
  <c r="AM53" i="17"/>
  <c r="AG53" i="17"/>
  <c r="AP53" i="17"/>
  <c r="AJ53" i="17"/>
  <c r="AK53" i="17"/>
  <c r="AI53" i="17"/>
  <c r="AH53" i="17"/>
  <c r="AD53" i="17"/>
  <c r="AE53" i="17"/>
  <c r="U53" i="17"/>
  <c r="AC53" i="17"/>
  <c r="AC51" i="17"/>
  <c r="AI51" i="17"/>
  <c r="AE51" i="17"/>
  <c r="U51" i="17"/>
  <c r="AQ51" i="17"/>
  <c r="AD51" i="17"/>
  <c r="AN51" i="17"/>
  <c r="AK51" i="17"/>
  <c r="AH51" i="17"/>
  <c r="AM51" i="17"/>
  <c r="AP51" i="17"/>
  <c r="AF51" i="17"/>
  <c r="AL51" i="17"/>
  <c r="AR51" i="17"/>
  <c r="AJ51" i="17"/>
  <c r="AG51" i="17"/>
  <c r="AO51" i="17"/>
  <c r="AH47" i="17"/>
  <c r="AG47" i="17"/>
  <c r="AR47" i="17"/>
  <c r="AJ47" i="17"/>
  <c r="AI47" i="17"/>
  <c r="AD47" i="17"/>
  <c r="AQ47" i="17"/>
  <c r="AE47" i="17"/>
  <c r="AN47" i="17"/>
  <c r="C63" i="17"/>
  <c r="AO47" i="17"/>
  <c r="AM47" i="17"/>
  <c r="AK47" i="17"/>
  <c r="AL47" i="17"/>
  <c r="AP47" i="17"/>
  <c r="AC47" i="17"/>
  <c r="AF47" i="17"/>
  <c r="AF61" i="17"/>
  <c r="AR61" i="17"/>
  <c r="AG61" i="17"/>
  <c r="AH61" i="17"/>
  <c r="AN61" i="17"/>
  <c r="AK61" i="17"/>
  <c r="AE61" i="17"/>
  <c r="AJ61" i="17"/>
  <c r="AC61" i="17"/>
  <c r="U61" i="17"/>
  <c r="AQ61" i="17"/>
  <c r="AI61" i="17"/>
  <c r="AL61" i="17"/>
  <c r="AD61" i="17"/>
  <c r="AM61" i="17"/>
  <c r="AP61" i="17"/>
  <c r="AO61" i="17"/>
  <c r="AM56" i="17"/>
  <c r="AG56" i="17"/>
  <c r="AI56" i="17"/>
  <c r="AK56" i="17"/>
  <c r="AE56" i="17"/>
  <c r="U56" i="17"/>
  <c r="AN56" i="17"/>
  <c r="AC56" i="17"/>
  <c r="AL56" i="17"/>
  <c r="AP56" i="17"/>
  <c r="AJ56" i="17"/>
  <c r="AR56" i="17"/>
  <c r="AH56" i="17"/>
  <c r="AQ56" i="17"/>
  <c r="AF56" i="17"/>
  <c r="AO56" i="17"/>
  <c r="AD56" i="17"/>
  <c r="AD58" i="17"/>
  <c r="AR58" i="17"/>
  <c r="AI58" i="17"/>
  <c r="AE58" i="17"/>
  <c r="AF58" i="17"/>
  <c r="AN58" i="17"/>
  <c r="AH58" i="17"/>
  <c r="AL58" i="17"/>
  <c r="U58" i="17"/>
  <c r="AG58" i="17"/>
  <c r="AC58" i="17"/>
  <c r="AK58" i="17"/>
  <c r="AP58" i="17"/>
  <c r="AQ58" i="17"/>
  <c r="AO58" i="17"/>
  <c r="AM58" i="17"/>
  <c r="AJ58" i="17"/>
  <c r="AE50" i="17"/>
  <c r="AI50" i="17"/>
  <c r="AP50" i="17"/>
  <c r="AG50" i="17"/>
  <c r="AO50" i="17"/>
  <c r="AR50" i="17"/>
  <c r="AD50" i="17"/>
  <c r="AK50" i="17"/>
  <c r="AN50" i="17"/>
  <c r="AM50" i="17"/>
  <c r="AF50" i="17"/>
  <c r="AQ50" i="17"/>
  <c r="AC50" i="17"/>
  <c r="AH50" i="17"/>
  <c r="AJ50" i="17"/>
  <c r="AL50" i="17"/>
  <c r="AO49" i="17"/>
  <c r="AG49" i="17"/>
  <c r="AR49" i="17"/>
  <c r="AP49" i="17"/>
  <c r="AJ49" i="17"/>
  <c r="AI49" i="17"/>
  <c r="AN49" i="17"/>
  <c r="AE49" i="17"/>
  <c r="AH49" i="17"/>
  <c r="AF49" i="17"/>
  <c r="AC49" i="17"/>
  <c r="AD49" i="17"/>
  <c r="AM49" i="17"/>
  <c r="AL49" i="17"/>
  <c r="AQ49" i="17"/>
  <c r="AK49" i="17"/>
  <c r="J25" i="62"/>
  <c r="G25" i="62"/>
  <c r="H25" i="62" s="1"/>
  <c r="J17" i="62"/>
  <c r="G17" i="62"/>
  <c r="H17" i="62" s="1"/>
  <c r="J20" i="62"/>
  <c r="G20" i="62"/>
  <c r="H20" i="62" s="1"/>
  <c r="G16" i="62"/>
  <c r="H16" i="62" s="1"/>
  <c r="J16" i="62"/>
  <c r="J21" i="62"/>
  <c r="G21" i="62"/>
  <c r="H21" i="62" s="1"/>
  <c r="G14" i="62"/>
  <c r="G15" i="62"/>
  <c r="H15" i="62" s="1"/>
  <c r="J15" i="62"/>
  <c r="J19" i="62"/>
  <c r="G19" i="62"/>
  <c r="H19" i="62" s="1"/>
  <c r="G22" i="62"/>
  <c r="H22" i="62" s="1"/>
  <c r="J22" i="62"/>
  <c r="AC21" i="35"/>
  <c r="C82" i="35" l="1"/>
  <c r="AO82" i="35" s="1"/>
  <c r="AA19" i="35"/>
  <c r="AC19" i="35" s="1"/>
  <c r="G24" i="62"/>
  <c r="H24" i="62" s="1"/>
  <c r="G18" i="62"/>
  <c r="H18" i="62" s="1"/>
  <c r="F26" i="62"/>
  <c r="J23" i="62"/>
  <c r="AA18" i="35"/>
  <c r="AC18" i="35" s="1"/>
  <c r="C83" i="35"/>
  <c r="AG83" i="35" s="1"/>
  <c r="J18" i="62"/>
  <c r="J14" i="62"/>
  <c r="I26" i="62"/>
  <c r="S42" i="12" s="1"/>
  <c r="AC63" i="17"/>
  <c r="E63" i="17" s="1"/>
  <c r="AB19" i="35"/>
  <c r="C62" i="35"/>
  <c r="C56" i="35"/>
  <c r="AB13" i="35"/>
  <c r="AB10" i="35"/>
  <c r="C53" i="35"/>
  <c r="C52" i="35"/>
  <c r="AB9" i="35"/>
  <c r="AD79" i="35"/>
  <c r="AC79" i="35"/>
  <c r="AP79" i="35"/>
  <c r="AN79" i="35"/>
  <c r="AG79" i="35"/>
  <c r="U79" i="35"/>
  <c r="AQ79" i="35"/>
  <c r="AK79" i="35"/>
  <c r="AF79" i="35"/>
  <c r="AI79" i="35"/>
  <c r="AM79" i="35"/>
  <c r="AL79" i="35"/>
  <c r="AH79" i="35"/>
  <c r="AO79" i="35"/>
  <c r="AJ79" i="35"/>
  <c r="AE79" i="35"/>
  <c r="AR79" i="35"/>
  <c r="S39" i="12"/>
  <c r="AR84" i="35"/>
  <c r="AF84" i="35"/>
  <c r="AP84" i="35"/>
  <c r="U84" i="35"/>
  <c r="AI84" i="35"/>
  <c r="AM84" i="35"/>
  <c r="AH84" i="35"/>
  <c r="C85" i="35"/>
  <c r="AD84" i="35"/>
  <c r="AG84" i="35"/>
  <c r="AC84" i="35"/>
  <c r="AL84" i="35"/>
  <c r="AO84" i="35"/>
  <c r="AE84" i="35"/>
  <c r="AN84" i="35"/>
  <c r="AQ84" i="35"/>
  <c r="AK84" i="35"/>
  <c r="AJ84" i="35"/>
  <c r="U83" i="35"/>
  <c r="AE83" i="35"/>
  <c r="AC83" i="35"/>
  <c r="AK83" i="35"/>
  <c r="AF83" i="35"/>
  <c r="AB18" i="35"/>
  <c r="C61" i="35"/>
  <c r="AB15" i="35"/>
  <c r="C58" i="35"/>
  <c r="R49" i="12"/>
  <c r="C63" i="35"/>
  <c r="AB20" i="35"/>
  <c r="AM82" i="35"/>
  <c r="AH82" i="35"/>
  <c r="AF82" i="35"/>
  <c r="AI82" i="35"/>
  <c r="AC82" i="35"/>
  <c r="AG82" i="35"/>
  <c r="AD82" i="35"/>
  <c r="U82" i="35"/>
  <c r="AP82" i="35"/>
  <c r="AE82" i="35"/>
  <c r="AN82" i="35"/>
  <c r="AK82" i="35"/>
  <c r="AQ82" i="35"/>
  <c r="AH67" i="35"/>
  <c r="AF67" i="35"/>
  <c r="AD67" i="35"/>
  <c r="AI67" i="35"/>
  <c r="AP67" i="35"/>
  <c r="AN67" i="35"/>
  <c r="AL67" i="35"/>
  <c r="AR67" i="35"/>
  <c r="AQ67" i="35"/>
  <c r="AK67" i="35"/>
  <c r="AE67" i="35"/>
  <c r="AJ67" i="35"/>
  <c r="AM67" i="35"/>
  <c r="AO67" i="35"/>
  <c r="AG67" i="35"/>
  <c r="AC67" i="35"/>
  <c r="AL81" i="35"/>
  <c r="AF81" i="35"/>
  <c r="AQ81" i="35"/>
  <c r="AG81" i="35"/>
  <c r="AO81" i="35"/>
  <c r="AK81" i="35"/>
  <c r="AI81" i="35"/>
  <c r="U81" i="35"/>
  <c r="AJ81" i="35"/>
  <c r="AD81" i="35"/>
  <c r="AM81" i="35"/>
  <c r="AE81" i="35"/>
  <c r="AC81" i="35"/>
  <c r="AH81" i="35"/>
  <c r="AP81" i="35"/>
  <c r="AN81" i="35"/>
  <c r="AR81" i="35"/>
  <c r="C60" i="35"/>
  <c r="AB17" i="35"/>
  <c r="AB11" i="35"/>
  <c r="C54" i="35"/>
  <c r="AL77" i="35"/>
  <c r="AK77" i="35"/>
  <c r="AG77" i="35"/>
  <c r="AP77" i="35"/>
  <c r="AE77" i="35"/>
  <c r="AO77" i="35"/>
  <c r="AF77" i="35"/>
  <c r="AR77" i="35"/>
  <c r="AM77" i="35"/>
  <c r="AN77" i="35"/>
  <c r="AH77" i="35"/>
  <c r="AJ77" i="35"/>
  <c r="AI77" i="35"/>
  <c r="AQ77" i="35"/>
  <c r="U77" i="35"/>
  <c r="AC77" i="35"/>
  <c r="AD77" i="35"/>
  <c r="S47" i="12"/>
  <c r="AC75" i="35"/>
  <c r="AP75" i="35"/>
  <c r="AQ75" i="35"/>
  <c r="AH75" i="35"/>
  <c r="AD75" i="35"/>
  <c r="AI75" i="35"/>
  <c r="AK75" i="35"/>
  <c r="AL75" i="35"/>
  <c r="AR75" i="35"/>
  <c r="AG75" i="35"/>
  <c r="AO75" i="35"/>
  <c r="AN75" i="35"/>
  <c r="AF75" i="35"/>
  <c r="AM75" i="35"/>
  <c r="AE75" i="35"/>
  <c r="AJ75" i="35"/>
  <c r="C31" i="35"/>
  <c r="C34" i="35"/>
  <c r="C39" i="35"/>
  <c r="C38" i="35"/>
  <c r="C35" i="35"/>
  <c r="C30" i="35"/>
  <c r="C32" i="35"/>
  <c r="C36" i="35"/>
  <c r="C37" i="35"/>
  <c r="C33" i="35"/>
  <c r="AH76" i="35"/>
  <c r="AE76" i="35"/>
  <c r="AC76" i="35"/>
  <c r="AR76" i="35"/>
  <c r="AI76" i="35"/>
  <c r="AO76" i="35"/>
  <c r="AD76" i="35"/>
  <c r="AP76" i="35"/>
  <c r="AF76" i="35"/>
  <c r="AN76" i="35"/>
  <c r="AG76" i="35"/>
  <c r="AM76" i="35"/>
  <c r="AQ76" i="35"/>
  <c r="AJ76" i="35"/>
  <c r="AL76" i="35"/>
  <c r="AK76" i="35"/>
  <c r="S38" i="12"/>
  <c r="S48" i="12"/>
  <c r="S46" i="12"/>
  <c r="AB14" i="35"/>
  <c r="C57" i="35"/>
  <c r="C59" i="35"/>
  <c r="AB16" i="35"/>
  <c r="C55" i="35"/>
  <c r="AB12" i="35"/>
  <c r="AJ78" i="35"/>
  <c r="AO78" i="35"/>
  <c r="AP78" i="35"/>
  <c r="AE78" i="35"/>
  <c r="AF78" i="35"/>
  <c r="U78" i="35"/>
  <c r="AG78" i="35"/>
  <c r="AQ78" i="35"/>
  <c r="AH78" i="35"/>
  <c r="AR78" i="35"/>
  <c r="AC78" i="35"/>
  <c r="AK78" i="35"/>
  <c r="AI78" i="35"/>
  <c r="AN78" i="35"/>
  <c r="AL78" i="35"/>
  <c r="AD78" i="35"/>
  <c r="AM78" i="35"/>
  <c r="AK74" i="35"/>
  <c r="AJ74" i="35"/>
  <c r="AR74" i="35"/>
  <c r="AD74" i="35"/>
  <c r="AH74" i="35"/>
  <c r="AN74" i="35"/>
  <c r="AG74" i="35"/>
  <c r="AL74" i="35"/>
  <c r="AO74" i="35"/>
  <c r="AI74" i="35"/>
  <c r="AM74" i="35"/>
  <c r="AQ74" i="35"/>
  <c r="AC74" i="35"/>
  <c r="AP74" i="35"/>
  <c r="AE74" i="35"/>
  <c r="AF74" i="35"/>
  <c r="AR73" i="35"/>
  <c r="AO73" i="35"/>
  <c r="AJ73" i="35"/>
  <c r="AL73" i="35"/>
  <c r="AK73" i="35"/>
  <c r="AC73" i="35"/>
  <c r="AN73" i="35"/>
  <c r="AF73" i="35"/>
  <c r="AD73" i="35"/>
  <c r="AQ73" i="35"/>
  <c r="AI73" i="35"/>
  <c r="AM73" i="35"/>
  <c r="AE73" i="35"/>
  <c r="AP73" i="35"/>
  <c r="AH73" i="35"/>
  <c r="AG73" i="35"/>
  <c r="AJ80" i="35"/>
  <c r="AD80" i="35"/>
  <c r="AO80" i="35"/>
  <c r="U80" i="35"/>
  <c r="AM80" i="35"/>
  <c r="AE80" i="35"/>
  <c r="AL80" i="35"/>
  <c r="AF80" i="35"/>
  <c r="AQ80" i="35"/>
  <c r="AH80" i="35"/>
  <c r="AN80" i="35"/>
  <c r="AP80" i="35"/>
  <c r="AI80" i="35"/>
  <c r="AK80" i="35"/>
  <c r="AR80" i="35"/>
  <c r="AC80" i="35"/>
  <c r="AG80" i="35"/>
  <c r="AM63" i="17"/>
  <c r="O63" i="17" s="1"/>
  <c r="AE63" i="17"/>
  <c r="G63" i="17" s="1"/>
  <c r="AP63" i="17"/>
  <c r="R63" i="17" s="1"/>
  <c r="AO63" i="17"/>
  <c r="Q63" i="17" s="1"/>
  <c r="AR63" i="17"/>
  <c r="T63" i="17" s="1"/>
  <c r="AL63" i="17"/>
  <c r="N63" i="17" s="1"/>
  <c r="AD63" i="17"/>
  <c r="F63" i="17" s="1"/>
  <c r="AG63" i="17"/>
  <c r="I63" i="17" s="1"/>
  <c r="AJ63" i="17"/>
  <c r="L63" i="17" s="1"/>
  <c r="AQ63" i="17"/>
  <c r="S63" i="17" s="1"/>
  <c r="U63" i="17"/>
  <c r="AF63" i="17"/>
  <c r="H63" i="17" s="1"/>
  <c r="AK63" i="17"/>
  <c r="M63" i="17" s="1"/>
  <c r="AN63" i="17"/>
  <c r="P63" i="17" s="1"/>
  <c r="AI63" i="17"/>
  <c r="K63" i="17" s="1"/>
  <c r="AH63" i="17"/>
  <c r="J63" i="17" s="1"/>
  <c r="H14" i="62"/>
  <c r="J26" i="62"/>
  <c r="AC22" i="35"/>
  <c r="AD83" i="35" l="1"/>
  <c r="AP83" i="35"/>
  <c r="AJ83" i="35"/>
  <c r="AL83" i="35"/>
  <c r="H26" i="62"/>
  <c r="R32" i="12" s="1"/>
  <c r="R31" i="12" s="1"/>
  <c r="B43" i="12" s="1"/>
  <c r="S49" i="12"/>
  <c r="C40" i="35"/>
  <c r="AL82" i="35"/>
  <c r="AR82" i="35"/>
  <c r="AJ82" i="35"/>
  <c r="AQ83" i="35"/>
  <c r="AR83" i="35"/>
  <c r="AH83" i="35"/>
  <c r="AI83" i="35"/>
  <c r="S43" i="12"/>
  <c r="G26" i="62"/>
  <c r="S32" i="12" s="1"/>
  <c r="S44" i="12"/>
  <c r="S45" i="12"/>
  <c r="AM83" i="35"/>
  <c r="AN83" i="35"/>
  <c r="AO83" i="35"/>
  <c r="S41" i="12"/>
  <c r="S40" i="12"/>
  <c r="AD12" i="35"/>
  <c r="R43" i="12"/>
  <c r="AK57" i="35"/>
  <c r="AP57" i="35"/>
  <c r="AR57" i="35"/>
  <c r="AJ57" i="35"/>
  <c r="U57" i="35"/>
  <c r="AM57" i="35"/>
  <c r="AF57" i="35"/>
  <c r="AI57" i="35"/>
  <c r="AL57" i="35"/>
  <c r="AG57" i="35"/>
  <c r="AD57" i="35"/>
  <c r="AN57" i="35"/>
  <c r="AE57" i="35"/>
  <c r="AH57" i="35"/>
  <c r="AO57" i="35"/>
  <c r="AC57" i="35"/>
  <c r="AQ57" i="35"/>
  <c r="R46" i="12"/>
  <c r="AE60" i="35"/>
  <c r="AL60" i="35"/>
  <c r="AN60" i="35"/>
  <c r="AG60" i="35"/>
  <c r="U60" i="35"/>
  <c r="AJ60" i="35"/>
  <c r="AQ60" i="35"/>
  <c r="AC60" i="35"/>
  <c r="AR60" i="35"/>
  <c r="AP60" i="35"/>
  <c r="AI60" i="35"/>
  <c r="AF60" i="35"/>
  <c r="AK60" i="35"/>
  <c r="AO60" i="35"/>
  <c r="AD60" i="35"/>
  <c r="AH60" i="35"/>
  <c r="AM60" i="35"/>
  <c r="AD20" i="35"/>
  <c r="AD15" i="35"/>
  <c r="R38" i="12"/>
  <c r="AG52" i="35"/>
  <c r="AJ52" i="35"/>
  <c r="AK52" i="35"/>
  <c r="AP52" i="35"/>
  <c r="AD52" i="35"/>
  <c r="AN52" i="35"/>
  <c r="AO52" i="35"/>
  <c r="AR52" i="35"/>
  <c r="AC52" i="35"/>
  <c r="AH52" i="35"/>
  <c r="AI52" i="35"/>
  <c r="AF52" i="35"/>
  <c r="AM52" i="35"/>
  <c r="AL52" i="35"/>
  <c r="AQ52" i="35"/>
  <c r="AE52" i="35"/>
  <c r="R42" i="12"/>
  <c r="AD56" i="35"/>
  <c r="AE56" i="35"/>
  <c r="U56" i="35"/>
  <c r="AI56" i="35"/>
  <c r="AL56" i="35"/>
  <c r="AJ56" i="35"/>
  <c r="AQ56" i="35"/>
  <c r="AF56" i="35"/>
  <c r="AO56" i="35"/>
  <c r="AM56" i="35"/>
  <c r="AR56" i="35"/>
  <c r="AN56" i="35"/>
  <c r="AK56" i="35"/>
  <c r="AG56" i="35"/>
  <c r="AC56" i="35"/>
  <c r="AP56" i="35"/>
  <c r="AH56" i="35"/>
  <c r="R41" i="12"/>
  <c r="AR55" i="35"/>
  <c r="AG55" i="35"/>
  <c r="AE55" i="35"/>
  <c r="AJ55" i="35"/>
  <c r="AN55" i="35"/>
  <c r="AH55" i="35"/>
  <c r="AM55" i="35"/>
  <c r="AL55" i="35"/>
  <c r="AK55" i="35"/>
  <c r="AO55" i="35"/>
  <c r="AI55" i="35"/>
  <c r="AP55" i="35"/>
  <c r="AQ55" i="35"/>
  <c r="AF55" i="35"/>
  <c r="AD55" i="35"/>
  <c r="AC55" i="35"/>
  <c r="AD14" i="35"/>
  <c r="S51" i="12"/>
  <c r="R40" i="12"/>
  <c r="AJ54" i="35"/>
  <c r="AO54" i="35"/>
  <c r="AP54" i="35"/>
  <c r="AH54" i="35"/>
  <c r="AE54" i="35"/>
  <c r="AG54" i="35"/>
  <c r="AF54" i="35"/>
  <c r="AR54" i="35"/>
  <c r="AN54" i="35"/>
  <c r="AQ54" i="35"/>
  <c r="AK54" i="35"/>
  <c r="AD54" i="35"/>
  <c r="AL54" i="35"/>
  <c r="AI54" i="35"/>
  <c r="AC54" i="35"/>
  <c r="AM54" i="35"/>
  <c r="AH63" i="35"/>
  <c r="AQ63" i="35"/>
  <c r="AP63" i="35"/>
  <c r="AR63" i="35"/>
  <c r="AD63" i="35"/>
  <c r="AO63" i="35"/>
  <c r="AG63" i="35"/>
  <c r="AL63" i="35"/>
  <c r="AI63" i="35"/>
  <c r="AM63" i="35"/>
  <c r="U63" i="35"/>
  <c r="AK63" i="35"/>
  <c r="C64" i="35"/>
  <c r="AJ63" i="35"/>
  <c r="AN63" i="35"/>
  <c r="AE63" i="35"/>
  <c r="AC63" i="35"/>
  <c r="AF63" i="35"/>
  <c r="R47" i="12"/>
  <c r="AO61" i="35"/>
  <c r="AM61" i="35"/>
  <c r="AC61" i="35"/>
  <c r="AG61" i="35"/>
  <c r="U61" i="35"/>
  <c r="AR61" i="35"/>
  <c r="AL61" i="35"/>
  <c r="AP61" i="35"/>
  <c r="AJ61" i="35"/>
  <c r="AQ61" i="35"/>
  <c r="AH61" i="35"/>
  <c r="AN61" i="35"/>
  <c r="AI61" i="35"/>
  <c r="AK61" i="35"/>
  <c r="AE61" i="35"/>
  <c r="AF61" i="35"/>
  <c r="AD61" i="35"/>
  <c r="R39" i="12"/>
  <c r="AL53" i="35"/>
  <c r="AK53" i="35"/>
  <c r="AQ53" i="35"/>
  <c r="AG53" i="35"/>
  <c r="AM53" i="35"/>
  <c r="AI53" i="35"/>
  <c r="AE53" i="35"/>
  <c r="AR53" i="35"/>
  <c r="AF53" i="35"/>
  <c r="AD53" i="35"/>
  <c r="AP53" i="35"/>
  <c r="AC53" i="35"/>
  <c r="AJ53" i="35"/>
  <c r="AH53" i="35"/>
  <c r="AO53" i="35"/>
  <c r="AN53" i="35"/>
  <c r="R48" i="12"/>
  <c r="C20" i="35" s="1"/>
  <c r="AP62" i="35"/>
  <c r="AJ62" i="35"/>
  <c r="AE62" i="35"/>
  <c r="AK62" i="35"/>
  <c r="AM62" i="35"/>
  <c r="AD62" i="35"/>
  <c r="AN62" i="35"/>
  <c r="AQ62" i="35"/>
  <c r="AC62" i="35"/>
  <c r="AL62" i="35"/>
  <c r="AR62" i="35"/>
  <c r="AH62" i="35"/>
  <c r="AI62" i="35"/>
  <c r="AF62" i="35"/>
  <c r="AO62" i="35"/>
  <c r="AG62" i="35"/>
  <c r="U62" i="35"/>
  <c r="AD16" i="35"/>
  <c r="AD11" i="35"/>
  <c r="AD18" i="35"/>
  <c r="AM85" i="35"/>
  <c r="AP85" i="35"/>
  <c r="AL85" i="35"/>
  <c r="AJ85" i="35"/>
  <c r="AK85" i="35"/>
  <c r="AC85" i="35"/>
  <c r="AE85" i="35"/>
  <c r="AQ85" i="35"/>
  <c r="C86" i="35"/>
  <c r="AI85" i="35"/>
  <c r="AO85" i="35"/>
  <c r="AG85" i="35"/>
  <c r="AF85" i="35"/>
  <c r="AH85" i="35"/>
  <c r="AR85" i="35"/>
  <c r="AN85" i="35"/>
  <c r="U85" i="35"/>
  <c r="AD85" i="35"/>
  <c r="AD10" i="35"/>
  <c r="AD19" i="35"/>
  <c r="R45" i="12"/>
  <c r="U59" i="35"/>
  <c r="AN59" i="35"/>
  <c r="AP59" i="35"/>
  <c r="AH59" i="35"/>
  <c r="AE59" i="35"/>
  <c r="AO59" i="35"/>
  <c r="AC59" i="35"/>
  <c r="AG59" i="35"/>
  <c r="AK59" i="35"/>
  <c r="AI59" i="35"/>
  <c r="AL59" i="35"/>
  <c r="AF59" i="35"/>
  <c r="AD59" i="35"/>
  <c r="AM59" i="35"/>
  <c r="AJ59" i="35"/>
  <c r="AQ59" i="35"/>
  <c r="AR59" i="35"/>
  <c r="AD17" i="35"/>
  <c r="R44" i="12"/>
  <c r="AN58" i="35"/>
  <c r="AQ58" i="35"/>
  <c r="AJ58" i="35"/>
  <c r="AK58" i="35"/>
  <c r="AF58" i="35"/>
  <c r="AR58" i="35"/>
  <c r="AI58" i="35"/>
  <c r="U58" i="35"/>
  <c r="AH58" i="35"/>
  <c r="AP58" i="35"/>
  <c r="AL58" i="35"/>
  <c r="AO58" i="35"/>
  <c r="AC58" i="35"/>
  <c r="AG58" i="35"/>
  <c r="AM58" i="35"/>
  <c r="AD58" i="35"/>
  <c r="AE58" i="35"/>
  <c r="AD9" i="35"/>
  <c r="AB25" i="35"/>
  <c r="AD13" i="35"/>
  <c r="AC23" i="35"/>
  <c r="AC25" i="35" s="1"/>
  <c r="AL2" i="35" s="1"/>
  <c r="AA25" i="35"/>
  <c r="U86" i="35" l="1"/>
  <c r="AF86" i="35"/>
  <c r="AP86" i="35"/>
  <c r="AG86" i="35"/>
  <c r="AM86" i="35"/>
  <c r="AI86" i="35"/>
  <c r="AN86" i="35"/>
  <c r="AH86" i="35"/>
  <c r="AE86" i="35"/>
  <c r="AQ86" i="35"/>
  <c r="AJ86" i="35"/>
  <c r="AK86" i="35"/>
  <c r="AC86" i="35"/>
  <c r="AO86" i="35"/>
  <c r="AR86" i="35"/>
  <c r="AD86" i="35"/>
  <c r="AL86" i="35"/>
  <c r="C87" i="35"/>
  <c r="AY20" i="35"/>
  <c r="C21" i="35"/>
  <c r="AV20" i="35"/>
  <c r="AO20" i="35"/>
  <c r="AP20" i="35"/>
  <c r="AT20" i="35"/>
  <c r="BD20" i="35"/>
  <c r="AU20" i="35"/>
  <c r="BB20" i="35"/>
  <c r="AQ20" i="35"/>
  <c r="AW20" i="35"/>
  <c r="AX20" i="35"/>
  <c r="U20" i="35"/>
  <c r="BC20" i="35"/>
  <c r="AR20" i="35"/>
  <c r="AZ20" i="35"/>
  <c r="BA20" i="35"/>
  <c r="AS20" i="35"/>
  <c r="C41" i="35"/>
  <c r="AD25" i="35"/>
  <c r="C65" i="35"/>
  <c r="AF64" i="35"/>
  <c r="AM64" i="35"/>
  <c r="AL64" i="35"/>
  <c r="AO64" i="35"/>
  <c r="AD64" i="35"/>
  <c r="AP64" i="35"/>
  <c r="AK64" i="35"/>
  <c r="AG64" i="35"/>
  <c r="AI64" i="35"/>
  <c r="U64" i="35"/>
  <c r="AQ64" i="35"/>
  <c r="AC64" i="35"/>
  <c r="AH64" i="35"/>
  <c r="AJ64" i="35"/>
  <c r="AR64" i="35"/>
  <c r="AE64" i="35"/>
  <c r="AN64" i="35"/>
  <c r="R51" i="12"/>
  <c r="AE14" i="35"/>
  <c r="AE9" i="35"/>
  <c r="AE13" i="35"/>
  <c r="AE22" i="35"/>
  <c r="AE24" i="35"/>
  <c r="AE15" i="35"/>
  <c r="AE17" i="35"/>
  <c r="AE11" i="35"/>
  <c r="S33" i="12"/>
  <c r="B44" i="12" s="1"/>
  <c r="AE10" i="35"/>
  <c r="AE16" i="35"/>
  <c r="AE19" i="35"/>
  <c r="AE23" i="35"/>
  <c r="AE20" i="35"/>
  <c r="AE12" i="35"/>
  <c r="AE18" i="35"/>
  <c r="AE21" i="35"/>
  <c r="AH65" i="35" l="1"/>
  <c r="AJ65" i="35"/>
  <c r="AI65" i="35"/>
  <c r="AO65" i="35"/>
  <c r="C66" i="35"/>
  <c r="AE65" i="35"/>
  <c r="AM65" i="35"/>
  <c r="U65" i="35"/>
  <c r="AR65" i="35"/>
  <c r="AK65" i="35"/>
  <c r="AP65" i="35"/>
  <c r="AF65" i="35"/>
  <c r="AQ65" i="35"/>
  <c r="AC65" i="35"/>
  <c r="AG65" i="35"/>
  <c r="AL65" i="35"/>
  <c r="AD65" i="35"/>
  <c r="AN65" i="35"/>
  <c r="BE20" i="35"/>
  <c r="AD87" i="35"/>
  <c r="AD89" i="35" s="1"/>
  <c r="F89" i="35" s="1"/>
  <c r="AJ87" i="35"/>
  <c r="AJ89" i="35" s="1"/>
  <c r="L89" i="35" s="1"/>
  <c r="AH87" i="35"/>
  <c r="AH89" i="35" s="1"/>
  <c r="J89" i="35" s="1"/>
  <c r="AQ87" i="35"/>
  <c r="AQ89" i="35" s="1"/>
  <c r="S89" i="35" s="1"/>
  <c r="AN87" i="35"/>
  <c r="AN89" i="35" s="1"/>
  <c r="P89" i="35" s="1"/>
  <c r="AR87" i="35"/>
  <c r="AR89" i="35" s="1"/>
  <c r="T89" i="35" s="1"/>
  <c r="AM87" i="35"/>
  <c r="AM89" i="35" s="1"/>
  <c r="O89" i="35" s="1"/>
  <c r="U87" i="35"/>
  <c r="U89" i="35" s="1"/>
  <c r="AF87" i="35"/>
  <c r="AF89" i="35" s="1"/>
  <c r="H89" i="35" s="1"/>
  <c r="AO87" i="35"/>
  <c r="AO89" i="35" s="1"/>
  <c r="Q89" i="35" s="1"/>
  <c r="C89" i="35"/>
  <c r="AL87" i="35"/>
  <c r="AL89" i="35" s="1"/>
  <c r="N89" i="35" s="1"/>
  <c r="AI87" i="35"/>
  <c r="AI89" i="35" s="1"/>
  <c r="K89" i="35" s="1"/>
  <c r="AK87" i="35"/>
  <c r="AK89" i="35" s="1"/>
  <c r="M89" i="35" s="1"/>
  <c r="AG87" i="35"/>
  <c r="AG89" i="35" s="1"/>
  <c r="I89" i="35" s="1"/>
  <c r="AE87" i="35"/>
  <c r="AE89" i="35" s="1"/>
  <c r="G89" i="35" s="1"/>
  <c r="AC87" i="35"/>
  <c r="AC89" i="35" s="1"/>
  <c r="E89" i="35" s="1"/>
  <c r="AP87" i="35"/>
  <c r="AP89" i="35" s="1"/>
  <c r="R89" i="35" s="1"/>
  <c r="AZ21" i="35"/>
  <c r="BE21" i="35" s="1"/>
  <c r="AQ21" i="35"/>
  <c r="BB21" i="35"/>
  <c r="U21" i="35"/>
  <c r="AV21" i="35"/>
  <c r="AO21" i="35"/>
  <c r="AW21" i="35"/>
  <c r="AX21" i="35"/>
  <c r="AP21" i="35"/>
  <c r="BD21" i="35"/>
  <c r="BC21" i="35"/>
  <c r="BA21" i="35"/>
  <c r="AU21" i="35"/>
  <c r="AR21" i="35"/>
  <c r="C22" i="35"/>
  <c r="AT21" i="35"/>
  <c r="AY21" i="35"/>
  <c r="AS21" i="35"/>
  <c r="C42" i="35"/>
  <c r="AE25" i="35"/>
  <c r="C68" i="35" l="1"/>
  <c r="AH66" i="35"/>
  <c r="AH68" i="35" s="1"/>
  <c r="J68" i="35" s="1"/>
  <c r="AF66" i="35"/>
  <c r="AF68" i="35" s="1"/>
  <c r="H68" i="35" s="1"/>
  <c r="U66" i="35"/>
  <c r="U68" i="35" s="1"/>
  <c r="AE66" i="35"/>
  <c r="AE68" i="35" s="1"/>
  <c r="G68" i="35" s="1"/>
  <c r="AD66" i="35"/>
  <c r="AD68" i="35" s="1"/>
  <c r="F68" i="35" s="1"/>
  <c r="AQ66" i="35"/>
  <c r="AQ68" i="35" s="1"/>
  <c r="S68" i="35" s="1"/>
  <c r="AC66" i="35"/>
  <c r="AC68" i="35" s="1"/>
  <c r="E68" i="35" s="1"/>
  <c r="O68" i="35" s="1"/>
  <c r="P68" i="35" s="1"/>
  <c r="AL66" i="35"/>
  <c r="AL68" i="35" s="1"/>
  <c r="N68" i="35" s="1"/>
  <c r="AI66" i="35"/>
  <c r="AI68" i="35" s="1"/>
  <c r="K68" i="35" s="1"/>
  <c r="AP66" i="35"/>
  <c r="AP68" i="35" s="1"/>
  <c r="R68" i="35" s="1"/>
  <c r="AN66" i="35"/>
  <c r="AN68" i="35" s="1"/>
  <c r="AG66" i="35"/>
  <c r="AG68" i="35" s="1"/>
  <c r="I68" i="35" s="1"/>
  <c r="AK66" i="35"/>
  <c r="AK68" i="35" s="1"/>
  <c r="M68" i="35" s="1"/>
  <c r="AJ66" i="35"/>
  <c r="AJ68" i="35" s="1"/>
  <c r="L68" i="35" s="1"/>
  <c r="AM66" i="35"/>
  <c r="AM68" i="35" s="1"/>
  <c r="AO66" i="35"/>
  <c r="AO68" i="35" s="1"/>
  <c r="Q68" i="35" s="1"/>
  <c r="AR66" i="35"/>
  <c r="AR68" i="35" s="1"/>
  <c r="T68" i="35" s="1"/>
  <c r="BC22" i="35"/>
  <c r="AP22" i="35"/>
  <c r="AS22" i="35"/>
  <c r="C23" i="35"/>
  <c r="BD22" i="35"/>
  <c r="AY22" i="35"/>
  <c r="AZ22" i="35"/>
  <c r="AU22" i="35"/>
  <c r="AO22" i="35"/>
  <c r="U22" i="35"/>
  <c r="AW22" i="35"/>
  <c r="AT22" i="35"/>
  <c r="BA22" i="35"/>
  <c r="AV22" i="35"/>
  <c r="BB22" i="35"/>
  <c r="AR22" i="35"/>
  <c r="AQ22" i="35"/>
  <c r="AX22" i="35"/>
  <c r="C43" i="35"/>
  <c r="BE22" i="35" l="1"/>
  <c r="R36" i="12"/>
  <c r="S36" i="12"/>
  <c r="C25" i="35"/>
  <c r="G38" i="35" s="1"/>
  <c r="AQ23" i="35"/>
  <c r="AQ25" i="35" s="1"/>
  <c r="G25" i="35" s="1"/>
  <c r="AR23" i="35"/>
  <c r="AR25" i="35" s="1"/>
  <c r="H25" i="35" s="1"/>
  <c r="AZ23" i="35"/>
  <c r="BE23" i="35" s="1"/>
  <c r="AO23" i="35"/>
  <c r="AO25" i="35" s="1"/>
  <c r="E25" i="35" s="1"/>
  <c r="BC23" i="35"/>
  <c r="BC25" i="35" s="1"/>
  <c r="S25" i="35" s="1"/>
  <c r="Q36" i="12" s="1"/>
  <c r="AT23" i="35"/>
  <c r="AT25" i="35" s="1"/>
  <c r="J25" i="35" s="1"/>
  <c r="BB23" i="35"/>
  <c r="BB25" i="35" s="1"/>
  <c r="R25" i="35" s="1"/>
  <c r="BA23" i="35"/>
  <c r="BA25" i="35" s="1"/>
  <c r="Q25" i="35" s="1"/>
  <c r="AP23" i="35"/>
  <c r="AP25" i="35" s="1"/>
  <c r="F25" i="35" s="1"/>
  <c r="AU23" i="35"/>
  <c r="AU25" i="35" s="1"/>
  <c r="K25" i="35" s="1"/>
  <c r="AS23" i="35"/>
  <c r="AS25" i="35" s="1"/>
  <c r="I25" i="35" s="1"/>
  <c r="AX23" i="35"/>
  <c r="AX25" i="35" s="1"/>
  <c r="N25" i="35" s="1"/>
  <c r="U23" i="35"/>
  <c r="H5" i="26" s="1"/>
  <c r="BD23" i="35"/>
  <c r="BD25" i="35" s="1"/>
  <c r="T25" i="35" s="1"/>
  <c r="AW23" i="35"/>
  <c r="AW25" i="35" s="1"/>
  <c r="M25" i="35" s="1"/>
  <c r="AY23" i="35"/>
  <c r="AY25" i="35" s="1"/>
  <c r="O25" i="35" s="1"/>
  <c r="P25" i="35" s="1"/>
  <c r="AV23" i="35"/>
  <c r="AV25" i="35" s="1"/>
  <c r="L25" i="35" s="1"/>
  <c r="C44" i="35"/>
  <c r="R37" i="12"/>
  <c r="S37" i="12"/>
  <c r="AL3" i="35" l="1"/>
  <c r="AF3" i="35"/>
  <c r="AF4" i="35" s="1"/>
  <c r="F13" i="26"/>
  <c r="F12" i="26"/>
  <c r="F10" i="26"/>
  <c r="F11" i="26"/>
  <c r="BE25" i="35"/>
  <c r="AL6" i="35" s="1"/>
  <c r="AZ25" i="35"/>
  <c r="U25" i="35"/>
  <c r="Q37" i="12" s="1"/>
  <c r="I38" i="23" s="1"/>
  <c r="F14" i="26" l="1"/>
  <c r="F15" i="26" s="1"/>
  <c r="Q53" i="12" s="1"/>
  <c r="P53" i="12" s="1"/>
  <c r="R53" i="12" s="1"/>
  <c r="AF21" i="35"/>
  <c r="AF23" i="35"/>
  <c r="AF22" i="35"/>
  <c r="AF24" i="35"/>
  <c r="AF15" i="35"/>
  <c r="AF12" i="35"/>
  <c r="AF18" i="35"/>
  <c r="AF10" i="35"/>
  <c r="AF20" i="35"/>
  <c r="AF14" i="35"/>
  <c r="AF16" i="35"/>
  <c r="AF13" i="35"/>
  <c r="AF9" i="35"/>
  <c r="AF11" i="35"/>
  <c r="AF19" i="35"/>
  <c r="AF17" i="35"/>
  <c r="AL4" i="35"/>
  <c r="AG20" i="35"/>
  <c r="AG19" i="35"/>
  <c r="AG24" i="35"/>
  <c r="AG10" i="35"/>
  <c r="AG15" i="35"/>
  <c r="AG12" i="35"/>
  <c r="AG14" i="35"/>
  <c r="AG13" i="35"/>
  <c r="AG17" i="35"/>
  <c r="AG18" i="35"/>
  <c r="AG16" i="35"/>
  <c r="AG9" i="35"/>
  <c r="AG11" i="35"/>
  <c r="AG21" i="35"/>
  <c r="AG22" i="35"/>
  <c r="AG23" i="35"/>
  <c r="AG25" i="35" l="1"/>
  <c r="AF25" i="35"/>
</calcChain>
</file>

<file path=xl/sharedStrings.xml><?xml version="1.0" encoding="utf-8"?>
<sst xmlns="http://schemas.openxmlformats.org/spreadsheetml/2006/main" count="2768" uniqueCount="751">
  <si>
    <t>Bpd</t>
  </si>
  <si>
    <t>Water</t>
  </si>
  <si>
    <t>H2S</t>
  </si>
  <si>
    <t>C02</t>
  </si>
  <si>
    <t>N2</t>
  </si>
  <si>
    <t>C1</t>
  </si>
  <si>
    <t>C2</t>
  </si>
  <si>
    <t>C3</t>
  </si>
  <si>
    <t>iC4</t>
  </si>
  <si>
    <t>nC4</t>
  </si>
  <si>
    <t>Btex</t>
  </si>
  <si>
    <t>MMscfd</t>
  </si>
  <si>
    <t xml:space="preserve"> </t>
  </si>
  <si>
    <t>MMBtu/day</t>
  </si>
  <si>
    <t>MMcfd</t>
  </si>
  <si>
    <t>Estimated Compression Hp Requirements (Hp/MMscfd)</t>
  </si>
  <si>
    <t>Suction Pressure</t>
  </si>
  <si>
    <t>Discharge Pressure</t>
  </si>
  <si>
    <t>Compression Ratio</t>
  </si>
  <si>
    <t>Hp/MMscfd</t>
  </si>
  <si>
    <t xml:space="preserve">Hp  </t>
  </si>
  <si>
    <t>Engine Energy Requirement</t>
  </si>
  <si>
    <t>gas driven</t>
  </si>
  <si>
    <t>Kw/day</t>
  </si>
  <si>
    <t>electrical driven</t>
  </si>
  <si>
    <t>Auxilary Energy Requirements</t>
  </si>
  <si>
    <t>From GPSA handbook</t>
  </si>
  <si>
    <t xml:space="preserve">        Btu/bhp-hr</t>
  </si>
  <si>
    <t xml:space="preserve">       Fuel</t>
  </si>
  <si>
    <t>Power End Jackets</t>
  </si>
  <si>
    <t>Turbo After Coolers</t>
  </si>
  <si>
    <t xml:space="preserve">    Oil Coolers</t>
  </si>
  <si>
    <t xml:space="preserve">        Total</t>
  </si>
  <si>
    <t>6500 - 8500</t>
  </si>
  <si>
    <t xml:space="preserve">         1050 - 3600</t>
  </si>
  <si>
    <t xml:space="preserve">          108 - 350</t>
  </si>
  <si>
    <t xml:space="preserve">      265 - 445</t>
  </si>
  <si>
    <t>Feed Stream (F)</t>
  </si>
  <si>
    <t>Comp</t>
  </si>
  <si>
    <t>Boiling Pt</t>
  </si>
  <si>
    <t>Vap Pres</t>
  </si>
  <si>
    <t>Freezing Pt</t>
  </si>
  <si>
    <t>Crit. Pres</t>
  </si>
  <si>
    <t>Crit. Temp</t>
  </si>
  <si>
    <t xml:space="preserve">         Density of Liquid</t>
  </si>
  <si>
    <t>Density in Vapor</t>
  </si>
  <si>
    <t>Cp ,Gas</t>
  </si>
  <si>
    <t>Cp. Liquid</t>
  </si>
  <si>
    <t>HV, gas</t>
  </si>
  <si>
    <t>HV, liq</t>
  </si>
  <si>
    <t>GPM</t>
  </si>
  <si>
    <t>mol%</t>
  </si>
  <si>
    <t>Formula</t>
  </si>
  <si>
    <t>MW</t>
  </si>
  <si>
    <t>F@1atm</t>
  </si>
  <si>
    <t>psia@100F</t>
  </si>
  <si>
    <t xml:space="preserve">F </t>
  </si>
  <si>
    <t>psia</t>
  </si>
  <si>
    <t>F</t>
  </si>
  <si>
    <t>Z</t>
  </si>
  <si>
    <t>Spec Grav</t>
  </si>
  <si>
    <t>lb/gal</t>
  </si>
  <si>
    <t>gal/lbmol</t>
  </si>
  <si>
    <t>ft3/lb</t>
  </si>
  <si>
    <t>Btu/lb-F</t>
  </si>
  <si>
    <t>Btu/ft3</t>
  </si>
  <si>
    <t>Btu/lb</t>
  </si>
  <si>
    <t>gals/Mcf</t>
  </si>
  <si>
    <t>Nitrogen</t>
  </si>
  <si>
    <t>Carbon Dioxide</t>
  </si>
  <si>
    <t>CO2</t>
  </si>
  <si>
    <t>Hydrogen Sulfide</t>
  </si>
  <si>
    <t>Methane</t>
  </si>
  <si>
    <t>CH4</t>
  </si>
  <si>
    <t>Ethane</t>
  </si>
  <si>
    <t>C2H6</t>
  </si>
  <si>
    <t>Propane</t>
  </si>
  <si>
    <t>C3H8</t>
  </si>
  <si>
    <t>isoButane</t>
  </si>
  <si>
    <t>C4H10</t>
  </si>
  <si>
    <t>nButane</t>
  </si>
  <si>
    <t>isoPentane</t>
  </si>
  <si>
    <t>C5H12</t>
  </si>
  <si>
    <t>nPentane</t>
  </si>
  <si>
    <t>C6+</t>
  </si>
  <si>
    <t>C6H14</t>
  </si>
  <si>
    <t>Benzene</t>
  </si>
  <si>
    <t>C6H6</t>
  </si>
  <si>
    <t>Toluene</t>
  </si>
  <si>
    <t>C7H8</t>
  </si>
  <si>
    <t>Ethylbenzene</t>
  </si>
  <si>
    <t>C9H10</t>
  </si>
  <si>
    <t>Xylene</t>
  </si>
  <si>
    <t>C8H10</t>
  </si>
  <si>
    <t>H20</t>
  </si>
  <si>
    <t>Ave Stream</t>
  </si>
  <si>
    <t>Recovery (L/F)</t>
  </si>
  <si>
    <t>Recovery</t>
  </si>
  <si>
    <t>%</t>
  </si>
  <si>
    <t>V</t>
  </si>
  <si>
    <t>V/F</t>
  </si>
  <si>
    <t>L</t>
  </si>
  <si>
    <t>L/F</t>
  </si>
  <si>
    <t>Vapor Stream (V)</t>
  </si>
  <si>
    <t>Liquid Stream (L)</t>
  </si>
  <si>
    <t>Estimating Hydrocarbon Dew Point and compostion of C6+ components in natural gas</t>
  </si>
  <si>
    <t>from Practial Hydrocarbon Dew Point Specs.  Authors Bullin, Fitz and Dustman</t>
  </si>
  <si>
    <t>Input</t>
  </si>
  <si>
    <t>GPM - C5s</t>
  </si>
  <si>
    <t>GPM - C6+</t>
  </si>
  <si>
    <t>Output</t>
  </si>
  <si>
    <t>GPM = A*(GPM - C5s)^B*((GPM-C6+)^C</t>
  </si>
  <si>
    <t>A</t>
  </si>
  <si>
    <t>B</t>
  </si>
  <si>
    <t>C</t>
  </si>
  <si>
    <t>C6</t>
  </si>
  <si>
    <t>C7</t>
  </si>
  <si>
    <t>C8</t>
  </si>
  <si>
    <t>C9</t>
  </si>
  <si>
    <t>C6 - C9</t>
  </si>
  <si>
    <t>Temp</t>
  </si>
  <si>
    <t>Pressure</t>
  </si>
  <si>
    <t>CHDP, F</t>
  </si>
  <si>
    <t>Field</t>
  </si>
  <si>
    <t>iC5</t>
  </si>
  <si>
    <t>nC5</t>
  </si>
  <si>
    <t>Btu/cf</t>
  </si>
  <si>
    <t>Total Field Compression Usage</t>
  </si>
  <si>
    <t>Outlet Gas</t>
  </si>
  <si>
    <t>Vent</t>
  </si>
  <si>
    <t>Compressor</t>
  </si>
  <si>
    <t>Oil</t>
  </si>
  <si>
    <t>Stream</t>
  </si>
  <si>
    <t>N2, %</t>
  </si>
  <si>
    <t>Total, %</t>
  </si>
  <si>
    <t>Total</t>
  </si>
  <si>
    <t>N2, mol%</t>
  </si>
  <si>
    <t>CO2, mol %</t>
  </si>
  <si>
    <t>H2S, mol %</t>
  </si>
  <si>
    <t>C1, mol %</t>
  </si>
  <si>
    <t>C3, mol %</t>
  </si>
  <si>
    <t>iC4, mol %</t>
  </si>
  <si>
    <t>nC4, mol %</t>
  </si>
  <si>
    <t>iC5, mol %</t>
  </si>
  <si>
    <t>nC5, mol %</t>
  </si>
  <si>
    <t>C6+, mol %</t>
  </si>
  <si>
    <t>Water, mol %</t>
  </si>
  <si>
    <t>Total, mol %</t>
  </si>
  <si>
    <t>C2, mol %</t>
  </si>
  <si>
    <t>SUMMARY OUTPUT</t>
  </si>
  <si>
    <t>Regression Statistics</t>
  </si>
  <si>
    <t>Multiple R</t>
  </si>
  <si>
    <t>R Square</t>
  </si>
  <si>
    <t>Adjusted R Square</t>
  </si>
  <si>
    <t>Standard Error</t>
  </si>
  <si>
    <t>Observations</t>
  </si>
  <si>
    <t>ANOVA</t>
  </si>
  <si>
    <t>Regression</t>
  </si>
  <si>
    <t>Residual</t>
  </si>
  <si>
    <t>Intercept</t>
  </si>
  <si>
    <t>df</t>
  </si>
  <si>
    <t>SS</t>
  </si>
  <si>
    <t>MS</t>
  </si>
  <si>
    <t>Significance F</t>
  </si>
  <si>
    <t>Coefficients</t>
  </si>
  <si>
    <t>t Stat</t>
  </si>
  <si>
    <t>P-value</t>
  </si>
  <si>
    <t>Lower 95%</t>
  </si>
  <si>
    <t>Upper 95%</t>
  </si>
  <si>
    <t>Lower 95.0%</t>
  </si>
  <si>
    <t>Upper 95.0%</t>
  </si>
  <si>
    <t>X Variable 1</t>
  </si>
  <si>
    <t>X Variable 2</t>
  </si>
  <si>
    <t>Y</t>
  </si>
  <si>
    <t>X =GPM</t>
  </si>
  <si>
    <t>X^2</t>
  </si>
  <si>
    <t>Y Calc</t>
  </si>
  <si>
    <t>X^3</t>
  </si>
  <si>
    <t>X Variable 3</t>
  </si>
  <si>
    <t>C6-C9 calc</t>
  </si>
  <si>
    <t>Field Gas Volume, MMscfd</t>
  </si>
  <si>
    <t>Gas</t>
  </si>
  <si>
    <t>Month</t>
  </si>
  <si>
    <t>Avg. High, deg F</t>
  </si>
  <si>
    <t>Avg. Low, deg F</t>
  </si>
  <si>
    <t>Avg. Swing, deg F</t>
  </si>
  <si>
    <t>Mean, deg F</t>
  </si>
  <si>
    <t>Ave Prec, in</t>
  </si>
  <si>
    <t>Record High</t>
  </si>
  <si>
    <t>Record Low</t>
  </si>
  <si>
    <t>Jan</t>
  </si>
  <si>
    <t>88°F (1953)</t>
  </si>
  <si>
    <t>-12°F (1962)</t>
  </si>
  <si>
    <t>Feb</t>
  </si>
  <si>
    <t>89°F (1986)</t>
  </si>
  <si>
    <t>1°F (1951)</t>
  </si>
  <si>
    <t>Mar</t>
  </si>
  <si>
    <t>97°F (1963)</t>
  </si>
  <si>
    <t>10°F (1989)</t>
  </si>
  <si>
    <t>Apr</t>
  </si>
  <si>
    <t>102°F (2012)</t>
  </si>
  <si>
    <t>22°F (1973)</t>
  </si>
  <si>
    <t>May</t>
  </si>
  <si>
    <t>108°F (2000)</t>
  </si>
  <si>
    <t>28°F (1979)</t>
  </si>
  <si>
    <t>Jun</t>
  </si>
  <si>
    <t>116°F (1994)</t>
  </si>
  <si>
    <t>45°F (1964)</t>
  </si>
  <si>
    <t>Jul</t>
  </si>
  <si>
    <t>110°F (1989)</t>
  </si>
  <si>
    <t>54°F (1948)</t>
  </si>
  <si>
    <t>Aug</t>
  </si>
  <si>
    <t>107°F (1969)</t>
  </si>
  <si>
    <t>52°F (1979)</t>
  </si>
  <si>
    <t>Sep</t>
  </si>
  <si>
    <t>106°F (1952)</t>
  </si>
  <si>
    <t>37°F (1989)</t>
  </si>
  <si>
    <t>Oct</t>
  </si>
  <si>
    <t>101°F (2000)</t>
  </si>
  <si>
    <t>24°F (1993)</t>
  </si>
  <si>
    <t>Nov</t>
  </si>
  <si>
    <t>90°F (1996)</t>
  </si>
  <si>
    <t>11°F (1976)</t>
  </si>
  <si>
    <t>Dec</t>
  </si>
  <si>
    <t>86°F (1954)</t>
  </si>
  <si>
    <t>-2°F (1989)</t>
  </si>
  <si>
    <t>Ave/Total</t>
  </si>
  <si>
    <t xml:space="preserve">         Slop Water</t>
  </si>
  <si>
    <t>From Well site</t>
  </si>
  <si>
    <t>Well Comp Temp, High (F)</t>
  </si>
  <si>
    <t>Well Comp Temp, Low (F)</t>
  </si>
  <si>
    <t>Ground Temp (F)</t>
  </si>
  <si>
    <t>Booster Site Inlet High (F)</t>
  </si>
  <si>
    <t>Booster Site Inlet Low (F)</t>
  </si>
  <si>
    <t>Bstr Comp Temp, High (F)</t>
  </si>
  <si>
    <t>Bstr Comp Temp, Low (F)</t>
  </si>
  <si>
    <t>Plant Inlet Temp, High (F)</t>
  </si>
  <si>
    <t>L1</t>
  </si>
  <si>
    <t>L2</t>
  </si>
  <si>
    <t>L1/F</t>
  </si>
  <si>
    <t>L2/F</t>
  </si>
  <si>
    <t>Component</t>
  </si>
  <si>
    <t>X</t>
  </si>
  <si>
    <t>Benzene, mol %</t>
  </si>
  <si>
    <t>Toulene, mol %</t>
  </si>
  <si>
    <t>Ethyl-Benzene, mol %</t>
  </si>
  <si>
    <t>Xylene, mol %</t>
  </si>
  <si>
    <t>Ave</t>
  </si>
  <si>
    <t xml:space="preserve">         Discharge Line</t>
  </si>
  <si>
    <t xml:space="preserve">      NGL</t>
  </si>
  <si>
    <t>Basic Information</t>
  </si>
  <si>
    <t>Compressor Disch Press, Psia</t>
  </si>
  <si>
    <t>Case ====&gt;</t>
  </si>
  <si>
    <t>C5+, mol%</t>
  </si>
  <si>
    <t>EagleFord</t>
  </si>
  <si>
    <t>Ln X</t>
  </si>
  <si>
    <t xml:space="preserve"> Ln Y</t>
  </si>
  <si>
    <t>Calc</t>
  </si>
  <si>
    <t>Ln Y</t>
  </si>
  <si>
    <t>Calc Y</t>
  </si>
  <si>
    <t xml:space="preserve"> -Y</t>
  </si>
  <si>
    <t>Compr</t>
  </si>
  <si>
    <t>Ratio</t>
  </si>
  <si>
    <t>Hp per</t>
  </si>
  <si>
    <t>RESIDUAL OUTPUT</t>
  </si>
  <si>
    <t>Observation</t>
  </si>
  <si>
    <t>Predicted Y</t>
  </si>
  <si>
    <t>Residuals</t>
  </si>
  <si>
    <t>Inlet Gals/Mcf</t>
  </si>
  <si>
    <t xml:space="preserve">   7800 - 12500</t>
  </si>
  <si>
    <t>Input Data</t>
  </si>
  <si>
    <t>Typical Energy Requirements - Gas Engines (from GPSA Handbook)</t>
  </si>
  <si>
    <t>from Compostion Data provided</t>
  </si>
  <si>
    <t>if C6-C9 &gt;0.2 then CHDP set to 125F</t>
  </si>
  <si>
    <t>Miles</t>
  </si>
  <si>
    <t>Monthly temperature data for highlighted input from local weather historical data</t>
  </si>
  <si>
    <t>Chart A</t>
  </si>
  <si>
    <t>Location: Midland Texas</t>
  </si>
  <si>
    <t>Y calc</t>
  </si>
  <si>
    <t>Delaware Basin</t>
  </si>
  <si>
    <t>Typical from Various Other Fields</t>
  </si>
  <si>
    <t>Field Loss, %</t>
  </si>
  <si>
    <t>Field Loss, Mscfd</t>
  </si>
  <si>
    <t>Fuel Usage. Mscfd</t>
  </si>
  <si>
    <t>Compressor Brake Hp</t>
  </si>
  <si>
    <t>Shrink, Mscfd</t>
  </si>
  <si>
    <t>Shrink, Bpd</t>
  </si>
  <si>
    <t>T</t>
  </si>
  <si>
    <t>Specific gravity of stock tank oil:</t>
  </si>
  <si>
    <t>Specific gravity of solution gas:</t>
  </si>
  <si>
    <r>
      <t>b (</t>
    </r>
    <r>
      <rPr>
        <vertAlign val="superscript"/>
        <sz val="10"/>
        <rFont val="Arial"/>
        <family val="2"/>
      </rPr>
      <t>o</t>
    </r>
    <r>
      <rPr>
        <sz val="11"/>
        <color theme="1"/>
        <rFont val="Calibri"/>
        <family val="2"/>
        <scheme val="minor"/>
      </rPr>
      <t>R)</t>
    </r>
  </si>
  <si>
    <r>
      <t>T</t>
    </r>
    <r>
      <rPr>
        <vertAlign val="subscript"/>
        <sz val="10"/>
        <rFont val="Arial"/>
        <family val="2"/>
      </rPr>
      <t>B</t>
    </r>
    <r>
      <rPr>
        <sz val="11"/>
        <color theme="1"/>
        <rFont val="Calibri"/>
        <family val="2"/>
        <scheme val="minor"/>
      </rPr>
      <t xml:space="preserve"> (</t>
    </r>
    <r>
      <rPr>
        <vertAlign val="superscript"/>
        <sz val="10"/>
        <rFont val="Arial"/>
        <family val="2"/>
      </rPr>
      <t>o</t>
    </r>
    <r>
      <rPr>
        <sz val="11"/>
        <color theme="1"/>
        <rFont val="Calibri"/>
        <family val="2"/>
        <scheme val="minor"/>
      </rPr>
      <t>R)</t>
    </r>
  </si>
  <si>
    <r>
      <t>k</t>
    </r>
    <r>
      <rPr>
        <vertAlign val="subscript"/>
        <sz val="10"/>
        <rFont val="Arial"/>
        <family val="2"/>
      </rPr>
      <t>i</t>
    </r>
  </si>
  <si>
    <r>
      <t>n</t>
    </r>
    <r>
      <rPr>
        <vertAlign val="subscript"/>
        <sz val="10"/>
        <rFont val="Arial"/>
        <family val="2"/>
      </rPr>
      <t>v</t>
    </r>
    <r>
      <rPr>
        <sz val="11"/>
        <color theme="1"/>
        <rFont val="Calibri"/>
        <family val="2"/>
        <scheme val="minor"/>
      </rPr>
      <t xml:space="preserve"> =</t>
    </r>
  </si>
  <si>
    <r>
      <t>n</t>
    </r>
    <r>
      <rPr>
        <vertAlign val="subscript"/>
        <sz val="10"/>
        <rFont val="Arial"/>
        <family val="2"/>
      </rPr>
      <t>L</t>
    </r>
    <r>
      <rPr>
        <sz val="11"/>
        <color theme="1"/>
        <rFont val="Calibri"/>
        <family val="2"/>
        <scheme val="minor"/>
      </rPr>
      <t xml:space="preserve"> =</t>
    </r>
  </si>
  <si>
    <r>
      <t>x</t>
    </r>
    <r>
      <rPr>
        <vertAlign val="subscript"/>
        <sz val="10"/>
        <rFont val="Arial"/>
        <family val="2"/>
      </rPr>
      <t>i</t>
    </r>
  </si>
  <si>
    <r>
      <t>y</t>
    </r>
    <r>
      <rPr>
        <vertAlign val="subscript"/>
        <sz val="10"/>
        <rFont val="Arial"/>
        <family val="2"/>
      </rPr>
      <t>i</t>
    </r>
  </si>
  <si>
    <t>Dens Liq</t>
  </si>
  <si>
    <t>Weighted</t>
  </si>
  <si>
    <r>
      <t>z</t>
    </r>
    <r>
      <rPr>
        <vertAlign val="subscript"/>
        <sz val="8"/>
        <rFont val="Arial"/>
        <family val="2"/>
      </rPr>
      <t>i</t>
    </r>
    <r>
      <rPr>
        <sz val="8"/>
        <color theme="1"/>
        <rFont val="Calibri"/>
        <family val="2"/>
        <scheme val="minor"/>
      </rPr>
      <t>(k</t>
    </r>
    <r>
      <rPr>
        <vertAlign val="subscript"/>
        <sz val="8"/>
        <rFont val="Arial"/>
        <family val="2"/>
      </rPr>
      <t>i</t>
    </r>
    <r>
      <rPr>
        <sz val="8"/>
        <color theme="1"/>
        <rFont val="Calibri"/>
        <family val="2"/>
        <scheme val="minor"/>
      </rPr>
      <t>-1)/[n</t>
    </r>
    <r>
      <rPr>
        <vertAlign val="subscript"/>
        <sz val="8"/>
        <rFont val="Arial"/>
        <family val="2"/>
      </rPr>
      <t>v</t>
    </r>
    <r>
      <rPr>
        <sz val="8"/>
        <color theme="1"/>
        <rFont val="Calibri"/>
        <family val="2"/>
        <scheme val="minor"/>
      </rPr>
      <t>(k</t>
    </r>
    <r>
      <rPr>
        <vertAlign val="subscript"/>
        <sz val="8"/>
        <rFont val="Arial"/>
        <family val="2"/>
      </rPr>
      <t>i</t>
    </r>
    <r>
      <rPr>
        <sz val="8"/>
        <color theme="1"/>
        <rFont val="Calibri"/>
        <family val="2"/>
        <scheme val="minor"/>
      </rPr>
      <t>-1)+1]</t>
    </r>
  </si>
  <si>
    <t>Liq Phase MW</t>
  </si>
  <si>
    <t>Gas Phase MW</t>
  </si>
  <si>
    <r>
      <t>Gas solubility (R</t>
    </r>
    <r>
      <rPr>
        <vertAlign val="subscript"/>
        <sz val="8"/>
        <rFont val="Arial"/>
        <family val="2"/>
      </rPr>
      <t>s</t>
    </r>
    <r>
      <rPr>
        <sz val="8"/>
        <color theme="1"/>
        <rFont val="Calibri"/>
        <family val="2"/>
        <scheme val="minor"/>
      </rPr>
      <t>):</t>
    </r>
  </si>
  <si>
    <r>
      <t>x</t>
    </r>
    <r>
      <rPr>
        <vertAlign val="subscript"/>
        <sz val="9"/>
        <rFont val="Arial"/>
        <family val="2"/>
      </rPr>
      <t>i</t>
    </r>
    <r>
      <rPr>
        <sz val="9"/>
        <rFont val="Arial"/>
        <family val="2"/>
      </rPr>
      <t>MW</t>
    </r>
    <r>
      <rPr>
        <vertAlign val="subscript"/>
        <sz val="9"/>
        <rFont val="Arial"/>
        <family val="2"/>
      </rPr>
      <t>i</t>
    </r>
  </si>
  <si>
    <r>
      <t>y</t>
    </r>
    <r>
      <rPr>
        <vertAlign val="subscript"/>
        <sz val="9"/>
        <rFont val="Arial"/>
        <family val="2"/>
      </rPr>
      <t>i</t>
    </r>
    <r>
      <rPr>
        <sz val="9"/>
        <rFont val="Arial"/>
        <family val="2"/>
      </rPr>
      <t>MW</t>
    </r>
    <r>
      <rPr>
        <vertAlign val="subscript"/>
        <sz val="9"/>
        <rFont val="Arial"/>
        <family val="2"/>
      </rPr>
      <t>i</t>
    </r>
  </si>
  <si>
    <t>liq phase density</t>
  </si>
  <si>
    <t>vap phase density</t>
  </si>
  <si>
    <t>vol liq phase</t>
  </si>
  <si>
    <t>vol vap phase</t>
  </si>
  <si>
    <t>GOR</t>
  </si>
  <si>
    <t>bbls/mol</t>
  </si>
  <si>
    <t>scf/mol</t>
  </si>
  <si>
    <r>
      <t xml:space="preserve"> lb</t>
    </r>
    <r>
      <rPr>
        <vertAlign val="subscript"/>
        <sz val="9"/>
        <rFont val="Arial"/>
        <family val="2"/>
      </rPr>
      <t>m</t>
    </r>
    <r>
      <rPr>
        <sz val="9"/>
        <color theme="1"/>
        <rFont val="Calibri"/>
        <family val="2"/>
        <scheme val="minor"/>
      </rPr>
      <t>/ft</t>
    </r>
    <r>
      <rPr>
        <vertAlign val="superscript"/>
        <sz val="9"/>
        <rFont val="Arial"/>
        <family val="2"/>
      </rPr>
      <t>3</t>
    </r>
  </si>
  <si>
    <t>liq phase SG</t>
  </si>
  <si>
    <t>Liq phase</t>
  </si>
  <si>
    <t>Bbls/mol</t>
  </si>
  <si>
    <t>vap phase</t>
  </si>
  <si>
    <t>mols/hr</t>
  </si>
  <si>
    <t>ft 3/mol</t>
  </si>
  <si>
    <t>feed density</t>
  </si>
  <si>
    <t xml:space="preserve">feed </t>
  </si>
  <si>
    <t>Field Gas Pressure, Psia</t>
  </si>
  <si>
    <t>Field Gas Temperature, F</t>
  </si>
  <si>
    <t>scf/bbl</t>
  </si>
  <si>
    <t>Inlet C5+ GPM</t>
  </si>
  <si>
    <t>Multicomponent Equilibrium Flash Calculation</t>
  </si>
  <si>
    <t>http://excelcalculations.blogspot.com/2011/07/equilibrium-flash-excel.html</t>
  </si>
  <si>
    <t>Feed Rate, moles/hr</t>
  </si>
  <si>
    <t>Inputs</t>
  </si>
  <si>
    <t>Feed Temperature, F</t>
  </si>
  <si>
    <t>Feed Pressure, psia</t>
  </si>
  <si>
    <t>Moles in Feed</t>
  </si>
  <si>
    <t>Mole fraction in feed</t>
  </si>
  <si>
    <t>Rachford-Rice equation</t>
  </si>
  <si>
    <t>Moles in liquid</t>
  </si>
  <si>
    <t>Moles in vapour</t>
  </si>
  <si>
    <t>Mole fraction in liquid</t>
  </si>
  <si>
    <t>Mole fraction in vapor</t>
  </si>
  <si>
    <t xml:space="preserve">C2 </t>
  </si>
  <si>
    <t>C7+</t>
  </si>
  <si>
    <t>TOTALS</t>
  </si>
  <si>
    <t>Rachford - Rice Equation</t>
  </si>
  <si>
    <r>
      <t>where z</t>
    </r>
    <r>
      <rPr>
        <vertAlign val="subscript"/>
        <sz val="10"/>
        <rFont val="Trebuchet MS"/>
        <family val="2"/>
      </rPr>
      <t>i</t>
    </r>
    <r>
      <rPr>
        <sz val="10"/>
        <rFont val="Trebuchet MS"/>
        <family val="2"/>
      </rPr>
      <t> is the mole fraction of component i in the liquid feed, K</t>
    </r>
    <r>
      <rPr>
        <vertAlign val="subscript"/>
        <sz val="10"/>
        <rFont val="Trebuchet MS"/>
        <family val="2"/>
      </rPr>
      <t>i</t>
    </r>
    <r>
      <rPr>
        <sz val="10"/>
        <rFont val="Trebuchet MS"/>
        <family val="2"/>
      </rPr>
      <t xml:space="preserve"> is the equilibrium constant </t>
    </r>
  </si>
  <si>
    <t>(at the appropriate temperature and pressure) and β is the fraction of feed that is vaporised. Obviously, β is between 0 and 1.</t>
  </si>
  <si>
    <t>xi = zi/(1-B+B*Ki)</t>
  </si>
  <si>
    <t>B = fraction of feed vaporized</t>
  </si>
  <si>
    <t>yi=Ki*xi</t>
  </si>
  <si>
    <t>developed by Wayne Landon</t>
  </si>
  <si>
    <t>Standing Correlation</t>
  </si>
  <si>
    <t>Wilson Correlation</t>
  </si>
  <si>
    <r>
      <t>K</t>
    </r>
    <r>
      <rPr>
        <vertAlign val="subscript"/>
        <sz val="11"/>
        <color theme="1"/>
        <rFont val="Calibri"/>
        <family val="2"/>
        <scheme val="minor"/>
      </rPr>
      <t>i</t>
    </r>
    <r>
      <rPr>
        <sz val="11"/>
        <color theme="1"/>
        <rFont val="Calibri"/>
        <family val="2"/>
        <scheme val="minor"/>
      </rPr>
      <t xml:space="preserve"> = 1/P*10^(a+c*F</t>
    </r>
    <r>
      <rPr>
        <vertAlign val="subscript"/>
        <sz val="11"/>
        <color theme="1"/>
        <rFont val="Calibri"/>
        <family val="2"/>
        <scheme val="minor"/>
      </rPr>
      <t>i</t>
    </r>
    <r>
      <rPr>
        <sz val="11"/>
        <color theme="1"/>
        <rFont val="Calibri"/>
        <family val="2"/>
        <scheme val="minor"/>
      </rPr>
      <t>) = equilibrium ratio of component i</t>
    </r>
  </si>
  <si>
    <r>
      <t>K</t>
    </r>
    <r>
      <rPr>
        <vertAlign val="subscript"/>
        <sz val="11"/>
        <color theme="1"/>
        <rFont val="Calibri"/>
        <family val="2"/>
        <scheme val="minor"/>
      </rPr>
      <t>i</t>
    </r>
    <r>
      <rPr>
        <sz val="11"/>
        <color theme="1"/>
        <rFont val="Calibri"/>
        <family val="2"/>
        <scheme val="minor"/>
      </rPr>
      <t xml:space="preserve"> = P</t>
    </r>
    <r>
      <rPr>
        <vertAlign val="subscript"/>
        <sz val="11"/>
        <color theme="1"/>
        <rFont val="Calibri"/>
        <family val="2"/>
        <scheme val="minor"/>
      </rPr>
      <t>ci</t>
    </r>
    <r>
      <rPr>
        <sz val="11"/>
        <color theme="1"/>
        <rFont val="Calibri"/>
        <family val="2"/>
        <scheme val="minor"/>
      </rPr>
      <t>/P*exp(5.37*(1+w</t>
    </r>
    <r>
      <rPr>
        <vertAlign val="subscript"/>
        <sz val="11"/>
        <color theme="1"/>
        <rFont val="Calibri"/>
        <family val="2"/>
        <scheme val="minor"/>
      </rPr>
      <t>i</t>
    </r>
    <r>
      <rPr>
        <sz val="11"/>
        <color theme="1"/>
        <rFont val="Calibri"/>
        <family val="2"/>
        <scheme val="minor"/>
      </rPr>
      <t>)*(1-T</t>
    </r>
    <r>
      <rPr>
        <vertAlign val="subscript"/>
        <sz val="11"/>
        <color theme="1"/>
        <rFont val="Calibri"/>
        <family val="2"/>
        <scheme val="minor"/>
      </rPr>
      <t>ci</t>
    </r>
    <r>
      <rPr>
        <sz val="11"/>
        <color theme="1"/>
        <rFont val="Calibri"/>
        <family val="2"/>
        <scheme val="minor"/>
      </rPr>
      <t>/T))</t>
    </r>
  </si>
  <si>
    <r>
      <t>F</t>
    </r>
    <r>
      <rPr>
        <vertAlign val="subscript"/>
        <sz val="11"/>
        <color theme="1"/>
        <rFont val="Calibri"/>
        <family val="2"/>
        <scheme val="minor"/>
      </rPr>
      <t>i</t>
    </r>
    <r>
      <rPr>
        <sz val="11"/>
        <color theme="1"/>
        <rFont val="Calibri"/>
        <family val="2"/>
        <scheme val="minor"/>
      </rPr>
      <t xml:space="preserve"> = b</t>
    </r>
    <r>
      <rPr>
        <vertAlign val="subscript"/>
        <sz val="11"/>
        <color theme="1"/>
        <rFont val="Calibri"/>
        <family val="2"/>
        <scheme val="minor"/>
      </rPr>
      <t>i</t>
    </r>
    <r>
      <rPr>
        <sz val="11"/>
        <color theme="1"/>
        <rFont val="Calibri"/>
        <family val="2"/>
        <scheme val="minor"/>
      </rPr>
      <t>*(1/T</t>
    </r>
    <r>
      <rPr>
        <vertAlign val="subscript"/>
        <sz val="11"/>
        <color theme="1"/>
        <rFont val="Calibri"/>
        <family val="2"/>
        <scheme val="minor"/>
      </rPr>
      <t>bi</t>
    </r>
    <r>
      <rPr>
        <sz val="11"/>
        <color theme="1"/>
        <rFont val="Calibri"/>
        <family val="2"/>
        <scheme val="minor"/>
      </rPr>
      <t>-1/T) = component charaterization factor</t>
    </r>
  </si>
  <si>
    <r>
      <t>w</t>
    </r>
    <r>
      <rPr>
        <vertAlign val="subscript"/>
        <sz val="11"/>
        <color theme="1"/>
        <rFont val="Calibri"/>
        <family val="2"/>
        <scheme val="minor"/>
      </rPr>
      <t>i</t>
    </r>
    <r>
      <rPr>
        <sz val="11"/>
        <color theme="1"/>
        <rFont val="Calibri"/>
        <family val="2"/>
        <scheme val="minor"/>
      </rPr>
      <t xml:space="preserve"> = acentric factor for component I </t>
    </r>
  </si>
  <si>
    <t>T = system temperature, R</t>
  </si>
  <si>
    <r>
      <t>T</t>
    </r>
    <r>
      <rPr>
        <vertAlign val="subscript"/>
        <sz val="11"/>
        <color theme="1"/>
        <rFont val="Calibri"/>
        <family val="2"/>
        <scheme val="minor"/>
      </rPr>
      <t xml:space="preserve">ci </t>
    </r>
    <r>
      <rPr>
        <sz val="11"/>
        <color theme="1"/>
        <rFont val="Calibri"/>
        <family val="2"/>
        <scheme val="minor"/>
      </rPr>
      <t>= critical temperature for component i</t>
    </r>
  </si>
  <si>
    <t>P = psia</t>
  </si>
  <si>
    <t>P = system pressure, psia</t>
  </si>
  <si>
    <r>
      <t>P</t>
    </r>
    <r>
      <rPr>
        <vertAlign val="subscript"/>
        <sz val="11"/>
        <color theme="1"/>
        <rFont val="Calibri"/>
        <family val="2"/>
        <scheme val="minor"/>
      </rPr>
      <t>ci</t>
    </r>
    <r>
      <rPr>
        <sz val="11"/>
        <color theme="1"/>
        <rFont val="Calibri"/>
        <family val="2"/>
        <scheme val="minor"/>
      </rPr>
      <t xml:space="preserve"> = critical pressure for component i</t>
    </r>
  </si>
  <si>
    <r>
      <t>T</t>
    </r>
    <r>
      <rPr>
        <vertAlign val="subscript"/>
        <sz val="11"/>
        <color theme="1"/>
        <rFont val="Calibri"/>
        <family val="2"/>
        <scheme val="minor"/>
      </rPr>
      <t>bi</t>
    </r>
    <r>
      <rPr>
        <sz val="11"/>
        <color theme="1"/>
        <rFont val="Calibri"/>
        <family val="2"/>
        <scheme val="minor"/>
      </rPr>
      <t xml:space="preserve"> = normal boiling point of component i, deg R</t>
    </r>
  </si>
  <si>
    <t>bi =( log(Pci/14.7))/(1/Tbi - 1/Tci)</t>
  </si>
  <si>
    <t>``</t>
  </si>
  <si>
    <t>Standing</t>
  </si>
  <si>
    <t>Wilson</t>
  </si>
  <si>
    <t>w</t>
  </si>
  <si>
    <r>
      <t>b</t>
    </r>
    <r>
      <rPr>
        <b/>
        <i/>
        <vertAlign val="subscript"/>
        <sz val="11"/>
        <color theme="1"/>
        <rFont val="Calibri"/>
        <family val="2"/>
        <scheme val="minor"/>
      </rPr>
      <t>i</t>
    </r>
  </si>
  <si>
    <r>
      <t>T</t>
    </r>
    <r>
      <rPr>
        <b/>
        <i/>
        <vertAlign val="subscript"/>
        <sz val="11"/>
        <color theme="1"/>
        <rFont val="Calibri"/>
        <family val="2"/>
        <scheme val="minor"/>
      </rPr>
      <t>bi</t>
    </r>
  </si>
  <si>
    <r>
      <t>F</t>
    </r>
    <r>
      <rPr>
        <b/>
        <i/>
        <vertAlign val="subscript"/>
        <sz val="11"/>
        <color theme="1"/>
        <rFont val="Calibri"/>
        <family val="2"/>
        <scheme val="minor"/>
      </rPr>
      <t>i</t>
    </r>
  </si>
  <si>
    <r>
      <t>K</t>
    </r>
    <r>
      <rPr>
        <b/>
        <i/>
        <vertAlign val="subscript"/>
        <sz val="11"/>
        <color theme="1"/>
        <rFont val="Calibri"/>
        <family val="2"/>
        <scheme val="minor"/>
      </rPr>
      <t>i</t>
    </r>
  </si>
  <si>
    <t>Reference:  Reservoir Engineering Handbook 4th Ed by Tarek Hamed</t>
  </si>
  <si>
    <r>
      <t>At low pressure conditions, less than 700 kPa (100 psia), the mole fraction of water in the gas phase can be estimated by dividing water vapor pressure, P</t>
    </r>
    <r>
      <rPr>
        <vertAlign val="superscript"/>
        <sz val="9"/>
        <color rgb="FF000000"/>
        <rFont val="Arial"/>
        <family val="2"/>
      </rPr>
      <t>V</t>
    </r>
    <r>
      <rPr>
        <sz val="9"/>
        <color rgb="FF000000"/>
        <rFont val="Arial"/>
        <family val="2"/>
      </rPr>
      <t>, at the specified temperature, T, by the system pressure, P. The vapor pressure of pure water, from 0 to 360, (32 to 680) can be calculated by the following relation [3].</t>
    </r>
  </si>
  <si>
    <t>Where:</t>
  </si>
  <si>
    <r>
      <t>The critical temperature,</t>
    </r>
    <r>
      <rPr>
        <i/>
        <sz val="9"/>
        <color rgb="FF000000"/>
        <rFont val="Arial"/>
        <family val="2"/>
      </rPr>
      <t> T</t>
    </r>
    <r>
      <rPr>
        <i/>
        <vertAlign val="subscript"/>
        <sz val="9"/>
        <color rgb="FF000000"/>
        <rFont val="Arial"/>
        <family val="2"/>
      </rPr>
      <t>C</t>
    </r>
    <r>
      <rPr>
        <sz val="9"/>
        <color rgb="FF000000"/>
        <rFont val="Arial"/>
        <family val="2"/>
      </rPr>
      <t> = 647.096 K and critical pressure, </t>
    </r>
    <r>
      <rPr>
        <i/>
        <sz val="9"/>
        <color rgb="FF000000"/>
        <rFont val="Arial"/>
        <family val="2"/>
      </rPr>
      <t>P</t>
    </r>
    <r>
      <rPr>
        <i/>
        <vertAlign val="subscript"/>
        <sz val="9"/>
        <color rgb="FF000000"/>
        <rFont val="Arial"/>
        <family val="2"/>
      </rPr>
      <t>C</t>
    </r>
    <r>
      <rPr>
        <sz val="9"/>
        <color rgb="FF000000"/>
        <rFont val="Arial"/>
        <family val="2"/>
      </rPr>
      <t> = 22.064 MPa, </t>
    </r>
    <r>
      <rPr>
        <i/>
        <sz val="9"/>
        <color rgb="FF000000"/>
        <rFont val="Arial"/>
        <family val="2"/>
      </rPr>
      <t>T</t>
    </r>
    <r>
      <rPr>
        <sz val="9"/>
        <color rgb="FF000000"/>
        <rFont val="Arial"/>
        <family val="2"/>
      </rPr>
      <t> in K, and P</t>
    </r>
    <r>
      <rPr>
        <vertAlign val="superscript"/>
        <sz val="9"/>
        <color rgb="FF000000"/>
        <rFont val="Arial"/>
        <family val="2"/>
      </rPr>
      <t>V</t>
    </r>
    <r>
      <rPr>
        <sz val="9"/>
        <color rgb="FF000000"/>
        <rFont val="Arial"/>
        <family val="2"/>
      </rPr>
      <t> in MPa, and</t>
    </r>
  </si>
  <si>
    <r>
      <t>a</t>
    </r>
    <r>
      <rPr>
        <vertAlign val="subscript"/>
        <sz val="9"/>
        <color rgb="FF000000"/>
        <rFont val="Arial"/>
        <family val="2"/>
      </rPr>
      <t>1</t>
    </r>
    <r>
      <rPr>
        <sz val="9"/>
        <color rgb="FF000000"/>
        <rFont val="Arial"/>
        <family val="2"/>
      </rPr>
      <t> = −7.85951783,     a</t>
    </r>
    <r>
      <rPr>
        <vertAlign val="subscript"/>
        <sz val="9"/>
        <color rgb="FF000000"/>
        <rFont val="Arial"/>
        <family val="2"/>
      </rPr>
      <t>2</t>
    </r>
    <r>
      <rPr>
        <sz val="9"/>
        <color rgb="FF000000"/>
        <rFont val="Arial"/>
        <family val="2"/>
      </rPr>
      <t> = 1.84408259,     a</t>
    </r>
    <r>
      <rPr>
        <vertAlign val="subscript"/>
        <sz val="9"/>
        <color rgb="FF000000"/>
        <rFont val="Arial"/>
        <family val="2"/>
      </rPr>
      <t>3</t>
    </r>
    <r>
      <rPr>
        <sz val="9"/>
        <color rgb="FF000000"/>
        <rFont val="Arial"/>
        <family val="2"/>
      </rPr>
      <t> = −11.7866497,      a</t>
    </r>
    <r>
      <rPr>
        <vertAlign val="subscript"/>
        <sz val="9"/>
        <color rgb="FF000000"/>
        <rFont val="Arial"/>
        <family val="2"/>
      </rPr>
      <t>4</t>
    </r>
    <r>
      <rPr>
        <sz val="9"/>
        <color rgb="FF000000"/>
        <rFont val="Arial"/>
        <family val="2"/>
      </rPr>
      <t> = 22.6807411,</t>
    </r>
  </si>
  <si>
    <r>
      <t>a</t>
    </r>
    <r>
      <rPr>
        <vertAlign val="subscript"/>
        <sz val="9"/>
        <color rgb="FF000000"/>
        <rFont val="Arial"/>
        <family val="2"/>
      </rPr>
      <t>5</t>
    </r>
    <r>
      <rPr>
        <sz val="9"/>
        <color rgb="FF000000"/>
        <rFont val="Arial"/>
        <family val="2"/>
      </rPr>
      <t> = −15.9618719,     a</t>
    </r>
    <r>
      <rPr>
        <vertAlign val="subscript"/>
        <sz val="9"/>
        <color rgb="FF000000"/>
        <rFont val="Arial"/>
        <family val="2"/>
      </rPr>
      <t>6</t>
    </r>
    <r>
      <rPr>
        <sz val="9"/>
        <color rgb="FF000000"/>
        <rFont val="Arial"/>
        <family val="2"/>
      </rPr>
      <t> = 1.80122502</t>
    </r>
  </si>
  <si>
    <r>
      <t>Knowing  one kmole of water = 18 kg (lbmole=18 lb</t>
    </r>
    <r>
      <rPr>
        <vertAlign val="subscript"/>
        <sz val="9"/>
        <color rgb="FF000000"/>
        <rFont val="Arial"/>
        <family val="2"/>
      </rPr>
      <t>m</t>
    </r>
    <r>
      <rPr>
        <sz val="9"/>
        <color rgb="FF000000"/>
        <rFont val="Arial"/>
        <family val="2"/>
      </rPr>
      <t>) and one kmole of gases occupy 23.64 Sm</t>
    </r>
    <r>
      <rPr>
        <vertAlign val="superscript"/>
        <sz val="9"/>
        <color rgb="FF000000"/>
        <rFont val="Arial"/>
        <family val="2"/>
      </rPr>
      <t>3</t>
    </r>
    <r>
      <rPr>
        <sz val="9"/>
        <color rgb="FF000000"/>
        <rFont val="Arial"/>
        <family val="2"/>
      </rPr>
      <t> at standard condition of 15  and 101.3 kPa (one lbmole of gases occupy 379.5 SCF at standard condition of 60 and 14.7 psia), the water content is calculated by</t>
    </r>
  </si>
  <si>
    <t>tau</t>
  </si>
  <si>
    <t>T deg C</t>
  </si>
  <si>
    <t>T deg F</t>
  </si>
  <si>
    <t>T deg K</t>
  </si>
  <si>
    <t>T deg R</t>
  </si>
  <si>
    <t>Tc/T</t>
  </si>
  <si>
    <t>a1</t>
  </si>
  <si>
    <t>a2</t>
  </si>
  <si>
    <t>a3</t>
  </si>
  <si>
    <t>a4</t>
  </si>
  <si>
    <t>a5</t>
  </si>
  <si>
    <t>a6</t>
  </si>
  <si>
    <t>tau^1.5</t>
  </si>
  <si>
    <t>tau^3</t>
  </si>
  <si>
    <t>tau^3.5</t>
  </si>
  <si>
    <t>tau^4</t>
  </si>
  <si>
    <t>tau^7.5</t>
  </si>
  <si>
    <t>sum</t>
  </si>
  <si>
    <t>sum*Tc/T</t>
  </si>
  <si>
    <t>exp(sum*Tc/T)</t>
  </si>
  <si>
    <t>Pv</t>
  </si>
  <si>
    <t>Pc</t>
  </si>
  <si>
    <t>Mpa</t>
  </si>
  <si>
    <t>a1*tau</t>
  </si>
  <si>
    <t>a2*tau^1.5</t>
  </si>
  <si>
    <t>a3*tau^3</t>
  </si>
  <si>
    <t>a4*tau^3.5</t>
  </si>
  <si>
    <t>a5*tau^4</t>
  </si>
  <si>
    <t>a6*tau^7.5</t>
  </si>
  <si>
    <t>a = 1.2+0.00045*P+15(10^-8)*P^2</t>
  </si>
  <si>
    <t>c= 0.89-0.00017*P-3.5(10^-8)*P^2</t>
  </si>
  <si>
    <t>Equilibrium Ratios, Whitson Wiki, https://wiki.whitson.com/phase_behavior/properties/kvalues/</t>
  </si>
  <si>
    <r>
      <t>P</t>
    </r>
    <r>
      <rPr>
        <b/>
        <i/>
        <vertAlign val="subscript"/>
        <sz val="11"/>
        <color theme="1"/>
        <rFont val="Calibri"/>
        <family val="2"/>
        <scheme val="minor"/>
      </rPr>
      <t>ci</t>
    </r>
    <r>
      <rPr>
        <b/>
        <i/>
        <sz val="11"/>
        <color theme="1"/>
        <rFont val="Calibri"/>
        <family val="2"/>
        <scheme val="minor"/>
      </rPr>
      <t xml:space="preserve"> (psia)</t>
    </r>
  </si>
  <si>
    <r>
      <t>T</t>
    </r>
    <r>
      <rPr>
        <b/>
        <i/>
        <vertAlign val="subscript"/>
        <sz val="11"/>
        <color theme="1"/>
        <rFont val="Calibri"/>
        <family val="2"/>
        <scheme val="minor"/>
      </rPr>
      <t>ci</t>
    </r>
    <r>
      <rPr>
        <b/>
        <i/>
        <sz val="11"/>
        <color theme="1"/>
        <rFont val="Calibri"/>
        <family val="2"/>
        <scheme val="minor"/>
      </rPr>
      <t xml:space="preserve"> (deg R)</t>
    </r>
  </si>
  <si>
    <t>moles vapor</t>
  </si>
  <si>
    <t>moles liq</t>
  </si>
  <si>
    <t>Determining K values for natural gas streams with pressures &lt;1000 psia and temperatures &lt;200 F</t>
  </si>
  <si>
    <t>B = 10^(6.69449 - 3083.7/(T+459.67))</t>
  </si>
  <si>
    <t>lb H2O/MMscf</t>
  </si>
  <si>
    <t>T (F)</t>
  </si>
  <si>
    <t>P (psig)</t>
  </si>
  <si>
    <t>P (psia)</t>
  </si>
  <si>
    <t>Pv/P</t>
  </si>
  <si>
    <t>tau = 1 - (T/Tc)</t>
  </si>
  <si>
    <r>
      <t>lb</t>
    </r>
    <r>
      <rPr>
        <sz val="8"/>
        <color theme="1"/>
        <rFont val="Calibri"/>
        <family val="2"/>
        <scheme val="minor"/>
      </rPr>
      <t xml:space="preserve"> H2O</t>
    </r>
    <r>
      <rPr>
        <sz val="11"/>
        <color theme="1"/>
        <rFont val="Calibri"/>
        <family val="2"/>
        <scheme val="minor"/>
      </rPr>
      <t>/MMcf</t>
    </r>
  </si>
  <si>
    <t>Moderate to High Pressure System</t>
  </si>
  <si>
    <t>For pressures higher than 700 kPa (100 psia), we propose a correlation similar to equation 6-276 in Chapter 6 of Standard Petroleum Handbook [4] as follows:</t>
  </si>
  <si>
    <t>Reference [4] presents the tabular values of A and B as a function of temperature. In this work, the temperature dependency of A and B in equation 3 is presented in the form of Gaussian Model.</t>
  </si>
  <si>
    <t>            Table 1. The parameters for equation 4G (Gaussian Model).</t>
  </si>
  <si>
    <t>Alternatively, the temperature dependency of parameters A and B in equation 3 can also be presented in the form of Polynomial Model.</t>
  </si>
  <si>
    <t>Table 2. The parameters for equation 4P (Polynomial Model).</t>
  </si>
  <si>
    <t>A temperature range of -40 to 100 (-40 to 212) and pressure range of 6.8 to 680 atm have been considered. For the purpose of higher accuracy, the parameters in equations 4G are regressed and presented in Table 1 for 5 different temperature intervals, for SI (System International) and FPS (Foot-pound-Second) system of units. The temperature range in the 5th row in each system of units is used more frequently. The proposed correlations are suitable for spreadsheet calculations.</t>
  </si>
  <si>
    <t>B= a(b)*ex[{-(T-b(b)^2)/(2*c©^2)]</t>
  </si>
  <si>
    <t>A = a(a)\*exp[-(T-b(a)^2)/(2*c(a)^2)]</t>
  </si>
  <si>
    <t>Water Content = (A/P+B)*C ; P = atm</t>
  </si>
  <si>
    <t>(4G)</t>
  </si>
  <si>
    <t>(3)</t>
  </si>
  <si>
    <t>Low T</t>
  </si>
  <si>
    <t>High T</t>
  </si>
  <si>
    <t>a(a)</t>
  </si>
  <si>
    <t>b(a)</t>
  </si>
  <si>
    <t>c(a)</t>
  </si>
  <si>
    <t>a(b)</t>
  </si>
  <si>
    <t>b(b)</t>
  </si>
  <si>
    <t>c(b)</t>
  </si>
  <si>
    <t>deg F</t>
  </si>
  <si>
    <t>FPS system</t>
  </si>
  <si>
    <t>; T= deg F</t>
  </si>
  <si>
    <t>Aa</t>
  </si>
  <si>
    <t>Ba</t>
  </si>
  <si>
    <t>Ca</t>
  </si>
  <si>
    <t>Da</t>
  </si>
  <si>
    <t>Ea</t>
  </si>
  <si>
    <t>Ab</t>
  </si>
  <si>
    <t>Bb</t>
  </si>
  <si>
    <t>Cb</t>
  </si>
  <si>
    <t>Db</t>
  </si>
  <si>
    <t>Eb</t>
  </si>
  <si>
    <t>from Drawing</t>
  </si>
  <si>
    <t>Stream 1</t>
  </si>
  <si>
    <t>Stream 7</t>
  </si>
  <si>
    <t xml:space="preserve"> Inlet Stream (F)</t>
  </si>
  <si>
    <t>Natural Gas Field Compression Site</t>
  </si>
  <si>
    <t>This workbook estimates flow and energy requirements for a natural gas field compression site, including inlet feed pipeline, inlet liquids handling, outlet feed pipeline and plant inlet liquids handling</t>
  </si>
  <si>
    <t>are highlighted.</t>
  </si>
  <si>
    <t>at the plant inlet</t>
  </si>
  <si>
    <t>Compressor Discharge pressure</t>
  </si>
  <si>
    <t>Field gas temperature</t>
  </si>
  <si>
    <t>Field gas  pressure</t>
  </si>
  <si>
    <t>Well Comp Temp, Ave (F)</t>
  </si>
  <si>
    <t>Booster Site Inlet Ave (F)</t>
  </si>
  <si>
    <t>Bstr Comp Temp, Ave (F)</t>
  </si>
  <si>
    <t xml:space="preserve">                                                      Stream #</t>
  </si>
  <si>
    <t>Plant Inlet Temp, low (F)</t>
  </si>
  <si>
    <t>Plant Inlet Temp, ave (F)</t>
  </si>
  <si>
    <t xml:space="preserve">2) assume field gas is water saturated </t>
  </si>
  <si>
    <t>per Wilson</t>
  </si>
  <si>
    <t>per Standing</t>
  </si>
  <si>
    <t>Standing F</t>
  </si>
  <si>
    <t>wilson K</t>
  </si>
  <si>
    <t>P, psia</t>
  </si>
  <si>
    <t>Darcy-Weisbach Equation</t>
  </si>
  <si>
    <t>v (velocity, ft/sec)</t>
  </si>
  <si>
    <t>The pressure drop (ΔP) in a gas pipeline can be calculated using the formula:</t>
  </si>
  <si>
    <t>Re = Reynolds Number (non-dimensional)</t>
  </si>
  <si>
    <t>Y = 53.44*Ln(X)+28.65</t>
  </si>
  <si>
    <t>Regression Analysis for compession ratios 10 to 40</t>
  </si>
  <si>
    <t>Y = exp[(2.0056 * (Ln(x))^0.5) + 2.05075]</t>
  </si>
  <si>
    <t>Ln X ^a</t>
  </si>
  <si>
    <t>Regression Analysis from  1.2 to 10</t>
  </si>
  <si>
    <t>Calculated from regression analysis below</t>
  </si>
  <si>
    <t>Estimating Compression Horsepower</t>
  </si>
  <si>
    <t>- estimated Hp is from regression correlations below.  Use GPSA graph to check</t>
  </si>
  <si>
    <t>Various Gas Compositions from Wellhead Separators</t>
  </si>
  <si>
    <t>R</t>
  </si>
  <si>
    <t>T (F) =</t>
  </si>
  <si>
    <t>P (psia)=</t>
  </si>
  <si>
    <t>water content (lbm/MMscf)</t>
  </si>
  <si>
    <t xml:space="preserve">        Inlet Gas Quality (dry basis)</t>
  </si>
  <si>
    <t>*2 assumes raw gas fuel is consummed to power engines</t>
  </si>
  <si>
    <r>
      <t>6</t>
    </r>
    <r>
      <rPr>
        <b/>
        <sz val="9"/>
        <color theme="1"/>
        <rFont val="Calibri"/>
        <family val="2"/>
        <scheme val="minor"/>
      </rPr>
      <t xml:space="preserve"> (*2)</t>
    </r>
  </si>
  <si>
    <t>*1 based on average yearly temperature data provided in tab  Chart A - Weather or user input</t>
  </si>
  <si>
    <r>
      <t xml:space="preserve">T, deg F </t>
    </r>
    <r>
      <rPr>
        <sz val="9"/>
        <color theme="1"/>
        <rFont val="Calibri"/>
        <family val="2"/>
        <scheme val="minor"/>
      </rPr>
      <t>(*1)</t>
    </r>
  </si>
  <si>
    <t xml:space="preserve">at low pressure   </t>
  </si>
  <si>
    <t>at low to moderate pressures</t>
  </si>
  <si>
    <t>water content =</t>
  </si>
  <si>
    <t>lbs/MMscf</t>
  </si>
  <si>
    <t>Standing's Correlation</t>
  </si>
  <si>
    <t>Hoffmann etal.(1953), Brinkman and Sicking (1960), Kehn(1964), and Dykstra and Mueller (1965) suggested that any pure hydrocarbon or nonhydrocarbon component could be uniquely characterized by combining its boiling-point temperature, critical temperature, and critical pressure into a characterization parameter that is defined by the following expression:</t>
  </si>
  <si>
    <t>(15-18)Fi=bi[1/Tbi−1/T]</t>
  </si>
  <si>
    <t>with</t>
  </si>
  <si>
    <t>(15-19)bi=log(pci/14.7)[1/Tbi−1/Tci]</t>
  </si>
  <si>
    <t>Tbi = normal boiling point of component i, °R</t>
  </si>
  <si>
    <t>Standing (1979) derived a set of equations that fit the equilibrium ratio data of Katz and Hachmuth (1937) at pressures of less than 1,000 psia and temperatures below 200°F. The proposed form of the correlation is based on an observation that plots of log(Kip) vs. Fi at a given pressure often form straight lines. The basic equation of the straight-line relationship is given by:</t>
  </si>
  <si>
    <t>log(Kip)=a+cFi</t>
  </si>
  <si>
    <t>where the coefficients a and c are the intercept and the slope of the line, respectively.</t>
  </si>
  <si>
    <t>(15-21)a=1.2+0.00045p+15(10−8)p2</t>
  </si>
  <si>
    <t>(15-22)c=0.89−0.00017p+3.5(10−8)p2</t>
  </si>
  <si>
    <t>Standing pointed out that the predicted values of the equilibrium ratios of N2, CO2, H2S, and C1 through C6 can be improved considerably by changing the correlating parameter bi and the boiling point of these components. The author proposed the following modified values:</t>
  </si>
  <si>
    <t>*</t>
  </si>
  <si>
    <t>Lumped Hexanes-fraction.</t>
  </si>
  <si>
    <t>KC7+=0.15KC7+</t>
  </si>
  <si>
    <t>Step 1.</t>
  </si>
  <si>
    <t>(15-23)n=7.30+0.0075(T−460)+0.0016p</t>
  </si>
  <si>
    <t>Step 2.</t>
  </si>
  <si>
    <t>(15-24)b=1013+324n−4.256n2</t>
  </si>
  <si>
    <t>(15-25)Tb=301+59.85n−0.971n2</t>
  </si>
  <si>
    <t>The above calculated values can then be used in Equation 15-18 to evaluate Fi for the heptanes-plus fraction, i.e., FC7+. It is also interesting to note that experimental phase equilibria data suggest that the equilibrium ratio for carbon dioxide can be closely approximated by the following relationship:</t>
  </si>
  <si>
    <t>KCO2=KC1KC2</t>
  </si>
  <si>
    <t>Example 15-2</t>
  </si>
  <si>
    <t>a.</t>
  </si>
  <si>
    <t>Wilson's correlation</t>
  </si>
  <si>
    <t>b.</t>
  </si>
  <si>
    <t>Standing's correlation</t>
  </si>
  <si>
    <t>Solution</t>
  </si>
  <si>
    <t>Calculate the critical pressure, critical temperature, and acentric factor of C7+ by using the characterization method of Riazi and Daubert discussed in Chapter 1. Example 1-1, page 27, gives:</t>
  </si>
  <si>
    <t>Apply Equation 15-17 to give:</t>
  </si>
  <si>
    <t>ω</t>
  </si>
  <si>
    <t>Ki=pd1000exp[5.37(1+ωi)(1−Td610)]</t>
  </si>
  <si>
    <t>Calculate coefficients a and c from Equations 15-21 and 15-22 to give:</t>
  </si>
  <si>
    <t>a=1.2+0.00045(1000)+15(10−8)(1000)2=1.80c=0.89−0.00017(1000)−3.5(10−8)(1000)2=0.685</t>
  </si>
  <si>
    <t>Calculate the number of carbon atoms n from Equation 15-23 to give:</t>
  </si>
  <si>
    <t>n=7.3+0.0075(150)+0.0016(1000)=10.025</t>
  </si>
  <si>
    <t>Step 3.</t>
  </si>
  <si>
    <t>b=1013+324(10.025)−4.256(10.025)2=3833.369Tb=301+59.85(10.025)−0.971(10.025)2=803.41°R</t>
  </si>
  <si>
    <t>Step 4.</t>
  </si>
  <si>
    <t>Apply Equation 15-20, to give:</t>
  </si>
  <si>
    <t>Empty Cell</t>
  </si>
  <si>
    <t>Eq. 15-18</t>
  </si>
  <si>
    <t>Eq. 15-20</t>
  </si>
  <si>
    <t>− 1.513</t>
  </si>
  <si>
    <t>Show less</t>
  </si>
  <si>
    <t>View chapter</t>
  </si>
  <si>
    <t>Book</t>
  </si>
  <si>
    <t>2010, Reservoir Engineering Handbook (Fourth Edition)</t>
  </si>
  <si>
    <t>Tarek Ahmed</t>
  </si>
  <si>
    <t>Chapter</t>
  </si>
  <si>
    <t>Equations of State and Phase Equilibria</t>
  </si>
  <si>
    <t>Step 3</t>
  </si>
  <si>
    <t>where Fi = component characterization factor</t>
  </si>
  <si>
    <t>Solving for the equilibrium ratio Ki gives:</t>
  </si>
  <si>
    <t>From a total of six isobar plots of log(Kip) vs. Fi for 18 sets of equilibrium ratio values, Standing correlated the coefficients a and c with the pressure, to give:</t>
  </si>
  <si>
    <t>bi</t>
  </si>
  <si>
    <t>Tbi °R</t>
  </si>
  <si>
    <t>i – C4</t>
  </si>
  <si>
    <t>n – C4</t>
  </si>
  <si>
    <t>i – C5</t>
  </si>
  <si>
    <t>n – C5</t>
  </si>
  <si>
    <t>C6*</t>
  </si>
  <si>
    <t>n – C6</t>
  </si>
  <si>
    <t>n – C7</t>
  </si>
  <si>
    <t>n – C8</t>
  </si>
  <si>
    <t>n – C9</t>
  </si>
  <si>
    <t>n – C10</t>
  </si>
  <si>
    <t>When making flash calculations, the question of the equilibrium ratio to use for the lumped heptanes-plus fraction always arises. One rule of thumb proposed by Katz and Hachmuth (1937) is that the K value for C7+ can be taken as 15% of the K of C7, or:</t>
  </si>
  <si>
    <t>Standing (1979) offered an alternative approach for determining the K value of the heptanes and heavier fractions. By imposing experimental equilibrium ratio values for C7+ on Equation 15-20, Standing calculated the corresponding characterization factors Fi for the plus fraction. The calculated Fi values were used to specify the pure normal paraffin hydrocarbon having the K value of the C7+ fraction.</t>
  </si>
  <si>
    <t>Standing suggested the following computational steps for determining the parameters b and Tb of the heptanes-plus fraction.</t>
  </si>
  <si>
    <t>Determine, from the following relationship, the number of carbon atoms n of the normal paraffin hydrocarbon having the K value of the C7+ fraction,</t>
  </si>
  <si>
    <t>Calculate the correlating parameter b and the boiling point Tb from the following expression:</t>
  </si>
  <si>
    <t>where KCO2 = equilibrium ratio of CO2</t>
  </si>
  <si>
    <t>KC1 = equilibrium ratio of methane</t>
  </si>
  <si>
    <t>KC2 = equilibrium ratio of ethane</t>
  </si>
  <si>
    <t>A hydrocarbon mixture with the following composition is flashed at 1,000 psia and 150°F.</t>
  </si>
  <si>
    <t>zi</t>
  </si>
  <si>
    <t>If the molecular weight and specific gravity of C7+ are 150.0 and 0.78, respectively, calculate the equilibrium ratios by using:</t>
  </si>
  <si>
    <t>Tc = 1139.4°R, pc = 320.3 psia, ω =0.5067</t>
  </si>
  <si>
    <t>Pc, psia</t>
  </si>
  <si>
    <t>Tc, °R</t>
  </si>
  <si>
    <t>Determine the parameter b and the boiling point Tb for the hydrocarbon component with n carbon atoms by using Equations 15-24 and 15-25 to yield:</t>
  </si>
  <si>
    <t>Fi</t>
  </si>
  <si>
    <t>Ki</t>
  </si>
  <si>
    <t>Tbi</t>
  </si>
  <si>
    <t>Flash the original composition through the first separator by generating the equilibrium ratios using the Standing correlation (equation 5-20) to give the results in the following table, with nL = 0.7209 and nυ = 0.29791.</t>
  </si>
  <si>
    <t>xi</t>
  </si>
  <si>
    <t>yi</t>
  </si>
  <si>
    <t>Mi</t>
  </si>
  <si>
    <t>i-C4</t>
  </si>
  <si>
    <t>n-C4</t>
  </si>
  <si>
    <t>i-C5</t>
  </si>
  <si>
    <t>n-C5</t>
  </si>
  <si>
    <t>(15-20)Ki=1/p*10^(a+c*Fi)</t>
  </si>
  <si>
    <t>n(C7+) = 7.3+0.0075*T+0.0016*P, where T is in deg F</t>
  </si>
  <si>
    <t>b (C7+) = 1013+324*n-4.256*n^2</t>
  </si>
  <si>
    <r>
      <t>T</t>
    </r>
    <r>
      <rPr>
        <vertAlign val="subscript"/>
        <sz val="11"/>
        <color theme="1"/>
        <rFont val="Calibri"/>
        <family val="2"/>
        <scheme val="minor"/>
      </rPr>
      <t>b( C7+)</t>
    </r>
    <r>
      <rPr>
        <sz val="11"/>
        <color theme="1"/>
        <rFont val="Calibri"/>
        <family val="2"/>
        <scheme val="minor"/>
      </rPr>
      <t>=301+59.85*n-0.971*n^2</t>
    </r>
  </si>
  <si>
    <t>Standing Correlation - an overview | ScienceDirect Topics</t>
  </si>
  <si>
    <t xml:space="preserve">enter 1 to calulate using Wilson Correlation K values, 2 for Standing Correlation K values </t>
  </si>
  <si>
    <t>Eq Const (K value)</t>
  </si>
  <si>
    <t>Estimating water content of natural gas streams</t>
  </si>
  <si>
    <t>Contact:  waynelandon13@gmail.com</t>
  </si>
  <si>
    <t>lbs H2O/MMscf</t>
  </si>
  <si>
    <t>Water Content</t>
  </si>
  <si>
    <t>low to moderater Pressure</t>
  </si>
  <si>
    <t>moderate to high pressure</t>
  </si>
  <si>
    <t>Pressures &lt; 100 psia</t>
  </si>
  <si>
    <t>Water Content Calculations</t>
  </si>
  <si>
    <t>3) assume a well head composition (dry basis, average case) of Delaware basin gas from the Compositions tab</t>
  </si>
  <si>
    <t>waynelandon13@gmail.com</t>
  </si>
  <si>
    <t>Estimating Pressure Drop in Gas Pipelines</t>
  </si>
  <si>
    <t>inputs</t>
  </si>
  <si>
    <t>results</t>
  </si>
  <si>
    <t>Q (Flowrate, MMscfd)</t>
  </si>
  <si>
    <t>Q (Flowrate, Mcfd)</t>
  </si>
  <si>
    <t>at flowing conditions</t>
  </si>
  <si>
    <r>
      <t>T</t>
    </r>
    <r>
      <rPr>
        <vertAlign val="subscript"/>
        <sz val="9"/>
        <color theme="1"/>
        <rFont val="Calibri"/>
        <family val="2"/>
        <scheme val="minor"/>
      </rPr>
      <t>1</t>
    </r>
    <r>
      <rPr>
        <sz val="11"/>
        <color theme="1"/>
        <rFont val="Calibri"/>
        <family val="2"/>
        <scheme val="minor"/>
      </rPr>
      <t xml:space="preserve"> (Inlet Temperature, F)</t>
    </r>
  </si>
  <si>
    <r>
      <t>P</t>
    </r>
    <r>
      <rPr>
        <vertAlign val="subscript"/>
        <sz val="9"/>
        <color theme="1"/>
        <rFont val="Calibri"/>
        <family val="2"/>
        <scheme val="minor"/>
      </rPr>
      <t>1</t>
    </r>
    <r>
      <rPr>
        <sz val="11"/>
        <color theme="1"/>
        <rFont val="Calibri"/>
        <family val="2"/>
        <scheme val="minor"/>
      </rPr>
      <t xml:space="preserve"> (Inlet Pressure ,psia)</t>
    </r>
  </si>
  <si>
    <t>L (length of pipe, ft)</t>
  </si>
  <si>
    <r>
      <t>D</t>
    </r>
    <r>
      <rPr>
        <sz val="8"/>
        <color theme="1"/>
        <rFont val="Calibri"/>
        <family val="2"/>
        <scheme val="minor"/>
      </rPr>
      <t xml:space="preserve"> </t>
    </r>
    <r>
      <rPr>
        <sz val="11"/>
        <color theme="1"/>
        <rFont val="Calibri"/>
        <family val="2"/>
        <scheme val="minor"/>
      </rPr>
      <t>(pipeline inside diameter, in)</t>
    </r>
  </si>
  <si>
    <r>
      <t>D</t>
    </r>
    <r>
      <rPr>
        <sz val="8"/>
        <color theme="1"/>
        <rFont val="Calibri"/>
        <family val="2"/>
        <scheme val="minor"/>
      </rPr>
      <t xml:space="preserve"> </t>
    </r>
    <r>
      <rPr>
        <sz val="11"/>
        <color theme="1"/>
        <rFont val="Calibri"/>
        <family val="2"/>
        <scheme val="minor"/>
      </rPr>
      <t>(pipeline inside diameter, ft)</t>
    </r>
  </si>
  <si>
    <t>E (Pipeline efficiency ,fraction)</t>
  </si>
  <si>
    <t>ρ (vapor density, lb/ft3)</t>
  </si>
  <si>
    <t>&lt;= calculated from Properties Tab</t>
  </si>
  <si>
    <t>μ (dynamic viscosity, lbm/sec- ft)</t>
  </si>
  <si>
    <t>&lt;= from Properties Tab</t>
  </si>
  <si>
    <t>f ( friction factor)</t>
  </si>
  <si>
    <r>
      <t xml:space="preserve">&lt;= calculated from friction factor equations below </t>
    </r>
    <r>
      <rPr>
        <vertAlign val="superscript"/>
        <sz val="10"/>
        <color theme="1"/>
        <rFont val="Calibri"/>
        <family val="2"/>
        <scheme val="minor"/>
      </rPr>
      <t>*2</t>
    </r>
  </si>
  <si>
    <r>
      <t>R</t>
    </r>
    <r>
      <rPr>
        <sz val="8"/>
        <color theme="1"/>
        <rFont val="Calibri"/>
        <family val="2"/>
        <scheme val="minor"/>
      </rPr>
      <t>e</t>
    </r>
    <r>
      <rPr>
        <sz val="11"/>
        <color theme="1"/>
        <rFont val="Calibri"/>
        <family val="2"/>
        <scheme val="minor"/>
      </rPr>
      <t>, Reynolds Number</t>
    </r>
  </si>
  <si>
    <t>ΔP, psi (Darcy-Weisbach)</t>
  </si>
  <si>
    <r>
      <t xml:space="preserve">ΔP/P  (%) </t>
    </r>
    <r>
      <rPr>
        <vertAlign val="superscript"/>
        <sz val="11"/>
        <color theme="1"/>
        <rFont val="Calibri"/>
        <family val="2"/>
        <scheme val="minor"/>
      </rPr>
      <t>*1</t>
    </r>
  </si>
  <si>
    <t>ΔP, psi (Weymouth)</t>
  </si>
  <si>
    <t>ΔP, psi (Panhandle A)</t>
  </si>
  <si>
    <t>ΔP, psi (Panhandle B)</t>
  </si>
  <si>
    <r>
      <t xml:space="preserve"> *</t>
    </r>
    <r>
      <rPr>
        <vertAlign val="superscript"/>
        <sz val="10"/>
        <color theme="1"/>
        <rFont val="Calibri"/>
        <family val="2"/>
        <scheme val="minor"/>
      </rPr>
      <t>1</t>
    </r>
    <r>
      <rPr>
        <sz val="11"/>
        <color theme="1"/>
        <rFont val="Calibri"/>
        <family val="2"/>
        <scheme val="minor"/>
      </rPr>
      <t xml:space="preserve"> Darcy-Weisbach valid for ΔP/P  &lt; 40%</t>
    </r>
  </si>
  <si>
    <r>
      <t xml:space="preserve"> *2</t>
    </r>
    <r>
      <rPr>
        <sz val="11"/>
        <color theme="1"/>
        <rFont val="Calibri"/>
        <family val="2"/>
        <scheme val="minor"/>
      </rPr>
      <t xml:space="preserve"> Moody Chart below can also be used to estimate fricion factor</t>
    </r>
  </si>
  <si>
    <r>
      <t xml:space="preserve">ΔP </t>
    </r>
    <r>
      <rPr>
        <sz val="11"/>
        <color theme="1"/>
        <rFont val="Calibri"/>
        <family val="2"/>
        <scheme val="minor"/>
      </rPr>
      <t>= f*(L/D)*ρ*(v</t>
    </r>
    <r>
      <rPr>
        <vertAlign val="superscript"/>
        <sz val="11"/>
        <color theme="1"/>
        <rFont val="Calibri"/>
        <family val="2"/>
        <scheme val="minor"/>
      </rPr>
      <t>2</t>
    </r>
    <r>
      <rPr>
        <sz val="11"/>
        <color theme="1"/>
        <rFont val="Calibri"/>
        <family val="2"/>
        <scheme val="minor"/>
      </rPr>
      <t>)/9265</t>
    </r>
  </si>
  <si>
    <t>ΔP = pressure drop (psi)</t>
  </si>
  <si>
    <t>f = Darcy-Weisbach friction factor (dimensionless) determined from Reynolds Number</t>
  </si>
  <si>
    <t>L = length of the pipe  (ft)</t>
  </si>
  <si>
    <t>D =internal diameter of the pipe (ft)</t>
  </si>
  <si>
    <t xml:space="preserve"> ρ = density of the gas (lbs/ft³)</t>
  </si>
  <si>
    <t xml:space="preserve"> v = flow velocity of the gas  (ft/s)</t>
  </si>
  <si>
    <t>Reynolds Number</t>
  </si>
  <si>
    <t>Re = ρ * ν * L / μ</t>
  </si>
  <si>
    <t>= ρ * v2 / (μ * v / L)</t>
  </si>
  <si>
    <t>= v * L / u                                                    </t>
  </si>
  <si>
    <r>
      <t>ρ = density (lbm/ft</t>
    </r>
    <r>
      <rPr>
        <vertAlign val="superscript"/>
        <sz val="10"/>
        <color theme="1"/>
        <rFont val="Calibri"/>
        <family val="2"/>
        <scheme val="minor"/>
      </rPr>
      <t>3</t>
    </r>
    <r>
      <rPr>
        <sz val="11"/>
        <color theme="1"/>
        <rFont val="Calibri"/>
        <family val="2"/>
        <scheme val="minor"/>
      </rPr>
      <t>)</t>
    </r>
  </si>
  <si>
    <t>ν = velocity based on the actual cross section area of the duct or pipe (ft/s)</t>
  </si>
  <si>
    <t>μ = dynamic viscosity (lbm/sec- ft)</t>
  </si>
  <si>
    <t>L = characteristic length (ft)</t>
  </si>
  <si>
    <t>u = μ / ρ = kinematic viscosity (ft2/s)</t>
  </si>
  <si>
    <t>Friction Factor</t>
  </si>
  <si>
    <t>Estimate Friction Factor via equation or Chart</t>
  </si>
  <si>
    <t>Re</t>
  </si>
  <si>
    <t>f</t>
  </si>
  <si>
    <t>e/D (steel)</t>
  </si>
  <si>
    <t>laminar flow (Re&lt;2100)</t>
  </si>
  <si>
    <t>f = 64/Re</t>
  </si>
  <si>
    <t>smooth pipe turbulent flow</t>
  </si>
  <si>
    <r>
      <t>f = 0.316/Re</t>
    </r>
    <r>
      <rPr>
        <vertAlign val="superscript"/>
        <sz val="10"/>
        <color theme="1"/>
        <rFont val="Calibri"/>
        <family val="2"/>
        <scheme val="minor"/>
      </rPr>
      <t>0.25</t>
    </r>
  </si>
  <si>
    <t>completely turbulent flow</t>
  </si>
  <si>
    <r>
      <t>f = [1.14+2log(D/e)]</t>
    </r>
    <r>
      <rPr>
        <vertAlign val="superscript"/>
        <sz val="10"/>
        <color theme="1"/>
        <rFont val="Calibri"/>
        <family val="2"/>
        <scheme val="minor"/>
      </rPr>
      <t>-2</t>
    </r>
  </si>
  <si>
    <t>Transition Region</t>
  </si>
  <si>
    <r>
      <t>f = {-2log[(e/D)/3.7+2.51/(Re*f</t>
    </r>
    <r>
      <rPr>
        <vertAlign val="superscript"/>
        <sz val="10"/>
        <color theme="1"/>
        <rFont val="Calibri"/>
        <family val="2"/>
        <scheme val="minor"/>
      </rPr>
      <t>0.5</t>
    </r>
    <r>
      <rPr>
        <sz val="11"/>
        <color theme="1"/>
        <rFont val="Calibri"/>
        <family val="2"/>
        <scheme val="minor"/>
      </rPr>
      <t>)]}</t>
    </r>
    <r>
      <rPr>
        <vertAlign val="superscript"/>
        <sz val="10"/>
        <color theme="1"/>
        <rFont val="Calibri"/>
        <family val="2"/>
        <scheme val="minor"/>
      </rPr>
      <t>-2</t>
    </r>
  </si>
  <si>
    <t>e (pipe roughness)</t>
  </si>
  <si>
    <t>ft</t>
  </si>
  <si>
    <t>mm</t>
  </si>
  <si>
    <t>e/d</t>
  </si>
  <si>
    <t>e for plastic pipe</t>
  </si>
  <si>
    <t>e for steel pipe</t>
  </si>
  <si>
    <t>e for galvinized pipe</t>
  </si>
  <si>
    <t>e for cast iron pipe</t>
  </si>
  <si>
    <t>e for concrete pipe</t>
  </si>
  <si>
    <t>For non laminar flow using chart    ======&gt;</t>
  </si>
  <si>
    <t>for smooth pipe</t>
  </si>
  <si>
    <t>for turbulent flow</t>
  </si>
  <si>
    <t>Weymouth Correlation</t>
  </si>
  <si>
    <r>
      <t>P</t>
    </r>
    <r>
      <rPr>
        <vertAlign val="subscript"/>
        <sz val="10"/>
        <color theme="1"/>
        <rFont val="Calibri"/>
        <family val="2"/>
        <scheme val="minor"/>
      </rPr>
      <t xml:space="preserve">2 </t>
    </r>
    <r>
      <rPr>
        <sz val="11"/>
        <color theme="1"/>
        <rFont val="Calibri"/>
        <family val="2"/>
        <scheme val="minor"/>
      </rPr>
      <t>= {(P</t>
    </r>
    <r>
      <rPr>
        <vertAlign val="subscript"/>
        <sz val="10"/>
        <color theme="1"/>
        <rFont val="Calibri"/>
        <family val="2"/>
        <scheme val="minor"/>
      </rPr>
      <t>1</t>
    </r>
    <r>
      <rPr>
        <sz val="10"/>
        <color theme="1"/>
        <rFont val="Calibri"/>
        <family val="2"/>
        <scheme val="minor"/>
      </rPr>
      <t>)</t>
    </r>
    <r>
      <rPr>
        <vertAlign val="superscript"/>
        <sz val="10"/>
        <color theme="1"/>
        <rFont val="Calibri"/>
        <family val="2"/>
        <scheme val="minor"/>
      </rPr>
      <t xml:space="preserve">2 </t>
    </r>
    <r>
      <rPr>
        <sz val="11"/>
        <color theme="1"/>
        <rFont val="Calibri"/>
        <family val="2"/>
        <scheme val="minor"/>
      </rPr>
      <t>- (L</t>
    </r>
    <r>
      <rPr>
        <vertAlign val="subscript"/>
        <sz val="10"/>
        <color theme="1"/>
        <rFont val="Calibri"/>
        <family val="2"/>
        <scheme val="minor"/>
      </rPr>
      <t>e</t>
    </r>
    <r>
      <rPr>
        <sz val="11"/>
        <color theme="1"/>
        <rFont val="Calibri"/>
        <family val="2"/>
        <scheme val="minor"/>
      </rPr>
      <t>*G*T</t>
    </r>
    <r>
      <rPr>
        <vertAlign val="subscript"/>
        <sz val="10"/>
        <color theme="1"/>
        <rFont val="Calibri"/>
        <family val="2"/>
        <scheme val="minor"/>
      </rPr>
      <t>f</t>
    </r>
    <r>
      <rPr>
        <sz val="11"/>
        <color theme="1"/>
        <rFont val="Calibri"/>
        <family val="2"/>
        <scheme val="minor"/>
      </rPr>
      <t>)*[Q/(433.59*(T</t>
    </r>
    <r>
      <rPr>
        <vertAlign val="subscript"/>
        <sz val="10"/>
        <color theme="1"/>
        <rFont val="Calibri"/>
        <family val="2"/>
        <scheme val="minor"/>
      </rPr>
      <t>b</t>
    </r>
    <r>
      <rPr>
        <sz val="11"/>
        <color theme="1"/>
        <rFont val="Calibri"/>
        <family val="2"/>
        <scheme val="minor"/>
      </rPr>
      <t>/P</t>
    </r>
    <r>
      <rPr>
        <vertAlign val="subscript"/>
        <sz val="10"/>
        <color theme="1"/>
        <rFont val="Calibri"/>
        <family val="2"/>
        <scheme val="minor"/>
      </rPr>
      <t>b</t>
    </r>
    <r>
      <rPr>
        <sz val="11"/>
        <color theme="1"/>
        <rFont val="Calibri"/>
        <family val="2"/>
        <scheme val="minor"/>
      </rPr>
      <t>)*D</t>
    </r>
    <r>
      <rPr>
        <vertAlign val="superscript"/>
        <sz val="10"/>
        <color theme="1"/>
        <rFont val="Calibri"/>
        <family val="2"/>
        <scheme val="minor"/>
      </rPr>
      <t>2.667</t>
    </r>
    <r>
      <rPr>
        <sz val="11"/>
        <color theme="1"/>
        <rFont val="Calibri"/>
        <family val="2"/>
        <scheme val="minor"/>
      </rPr>
      <t>)]</t>
    </r>
    <r>
      <rPr>
        <vertAlign val="superscript"/>
        <sz val="10"/>
        <color theme="1"/>
        <rFont val="Calibri"/>
        <family val="2"/>
        <scheme val="minor"/>
      </rPr>
      <t>2</t>
    </r>
    <r>
      <rPr>
        <sz val="11"/>
        <color theme="1"/>
        <rFont val="Calibri"/>
        <family val="2"/>
        <scheme val="minor"/>
      </rPr>
      <t>}</t>
    </r>
    <r>
      <rPr>
        <vertAlign val="superscript"/>
        <sz val="10"/>
        <color theme="1"/>
        <rFont val="Calibri"/>
        <family val="2"/>
        <scheme val="minor"/>
      </rPr>
      <t>0.5</t>
    </r>
  </si>
  <si>
    <r>
      <t>P</t>
    </r>
    <r>
      <rPr>
        <vertAlign val="subscript"/>
        <sz val="10"/>
        <color theme="1"/>
        <rFont val="Calibri"/>
        <family val="2"/>
        <scheme val="minor"/>
      </rPr>
      <t>2</t>
    </r>
    <r>
      <rPr>
        <sz val="11"/>
        <color theme="1"/>
        <rFont val="Calibri"/>
        <family val="2"/>
        <scheme val="minor"/>
      </rPr>
      <t xml:space="preserve"> =</t>
    </r>
  </si>
  <si>
    <t>Panhandle A Equation</t>
  </si>
  <si>
    <r>
      <t>P</t>
    </r>
    <r>
      <rPr>
        <vertAlign val="subscript"/>
        <sz val="10"/>
        <color theme="1"/>
        <rFont val="Calibri"/>
        <family val="2"/>
        <scheme val="minor"/>
      </rPr>
      <t xml:space="preserve">2 </t>
    </r>
    <r>
      <rPr>
        <sz val="11"/>
        <color theme="1"/>
        <rFont val="Calibri"/>
        <family val="2"/>
        <scheme val="minor"/>
      </rPr>
      <t>= {(P</t>
    </r>
    <r>
      <rPr>
        <vertAlign val="subscript"/>
        <sz val="10"/>
        <color theme="1"/>
        <rFont val="Calibri"/>
        <family val="2"/>
        <scheme val="minor"/>
      </rPr>
      <t>1</t>
    </r>
    <r>
      <rPr>
        <sz val="10"/>
        <color theme="1"/>
        <rFont val="Calibri"/>
        <family val="2"/>
        <scheme val="minor"/>
      </rPr>
      <t>)</t>
    </r>
    <r>
      <rPr>
        <vertAlign val="superscript"/>
        <sz val="10"/>
        <color theme="1"/>
        <rFont val="Calibri"/>
        <family val="2"/>
        <scheme val="minor"/>
      </rPr>
      <t xml:space="preserve">2 </t>
    </r>
    <r>
      <rPr>
        <sz val="11"/>
        <color theme="1"/>
        <rFont val="Calibri"/>
        <family val="2"/>
        <scheme val="minor"/>
      </rPr>
      <t>- (L</t>
    </r>
    <r>
      <rPr>
        <vertAlign val="subscript"/>
        <sz val="10"/>
        <color theme="1"/>
        <rFont val="Calibri"/>
        <family val="2"/>
        <scheme val="minor"/>
      </rPr>
      <t>e</t>
    </r>
    <r>
      <rPr>
        <sz val="11"/>
        <color theme="1"/>
        <rFont val="Calibri"/>
        <family val="2"/>
        <scheme val="minor"/>
      </rPr>
      <t>*G</t>
    </r>
    <r>
      <rPr>
        <vertAlign val="superscript"/>
        <sz val="10"/>
        <color theme="1"/>
        <rFont val="Calibri"/>
        <family val="2"/>
        <scheme val="minor"/>
      </rPr>
      <t>0.8539</t>
    </r>
    <r>
      <rPr>
        <sz val="11"/>
        <color theme="1"/>
        <rFont val="Calibri"/>
        <family val="2"/>
        <scheme val="minor"/>
      </rPr>
      <t>*Z*T</t>
    </r>
    <r>
      <rPr>
        <vertAlign val="subscript"/>
        <sz val="10"/>
        <color theme="1"/>
        <rFont val="Calibri"/>
        <family val="2"/>
        <scheme val="minor"/>
      </rPr>
      <t>f</t>
    </r>
    <r>
      <rPr>
        <sz val="11"/>
        <color theme="1"/>
        <rFont val="Calibri"/>
        <family val="2"/>
        <scheme val="minor"/>
      </rPr>
      <t>)*[Q/(435.27*E*(T</t>
    </r>
    <r>
      <rPr>
        <vertAlign val="subscript"/>
        <sz val="10"/>
        <color theme="1"/>
        <rFont val="Calibri"/>
        <family val="2"/>
        <scheme val="minor"/>
      </rPr>
      <t>b</t>
    </r>
    <r>
      <rPr>
        <sz val="11"/>
        <color theme="1"/>
        <rFont val="Calibri"/>
        <family val="2"/>
        <scheme val="minor"/>
      </rPr>
      <t>/P</t>
    </r>
    <r>
      <rPr>
        <vertAlign val="subscript"/>
        <sz val="10"/>
        <color theme="1"/>
        <rFont val="Calibri"/>
        <family val="2"/>
        <scheme val="minor"/>
      </rPr>
      <t>b</t>
    </r>
    <r>
      <rPr>
        <sz val="11"/>
        <color theme="1"/>
        <rFont val="Calibri"/>
        <family val="2"/>
        <scheme val="minor"/>
      </rPr>
      <t>)</t>
    </r>
    <r>
      <rPr>
        <vertAlign val="superscript"/>
        <sz val="10"/>
        <color theme="1"/>
        <rFont val="Calibri"/>
        <family val="2"/>
        <scheme val="minor"/>
      </rPr>
      <t>1.0788</t>
    </r>
    <r>
      <rPr>
        <sz val="11"/>
        <color theme="1"/>
        <rFont val="Calibri"/>
        <family val="2"/>
        <scheme val="minor"/>
      </rPr>
      <t>*D</t>
    </r>
    <r>
      <rPr>
        <vertAlign val="superscript"/>
        <sz val="10"/>
        <color theme="1"/>
        <rFont val="Calibri"/>
        <family val="2"/>
        <scheme val="minor"/>
      </rPr>
      <t>2.6182</t>
    </r>
    <r>
      <rPr>
        <sz val="11"/>
        <color theme="1"/>
        <rFont val="Calibri"/>
        <family val="2"/>
        <scheme val="minor"/>
      </rPr>
      <t>)]</t>
    </r>
    <r>
      <rPr>
        <vertAlign val="superscript"/>
        <sz val="10"/>
        <color theme="1"/>
        <rFont val="Calibri"/>
        <family val="2"/>
        <scheme val="minor"/>
      </rPr>
      <t>1/0.5394</t>
    </r>
    <r>
      <rPr>
        <sz val="11"/>
        <color theme="1"/>
        <rFont val="Calibri"/>
        <family val="2"/>
        <scheme val="minor"/>
      </rPr>
      <t>}</t>
    </r>
    <r>
      <rPr>
        <vertAlign val="superscript"/>
        <sz val="10"/>
        <color theme="1"/>
        <rFont val="Calibri"/>
        <family val="2"/>
        <scheme val="minor"/>
      </rPr>
      <t>0.5</t>
    </r>
  </si>
  <si>
    <t>Panhandle B Equation</t>
  </si>
  <si>
    <r>
      <t>P</t>
    </r>
    <r>
      <rPr>
        <vertAlign val="subscript"/>
        <sz val="10"/>
        <color theme="1"/>
        <rFont val="Calibri"/>
        <family val="2"/>
        <scheme val="minor"/>
      </rPr>
      <t xml:space="preserve">2 </t>
    </r>
    <r>
      <rPr>
        <sz val="11"/>
        <color theme="1"/>
        <rFont val="Calibri"/>
        <family val="2"/>
        <scheme val="minor"/>
      </rPr>
      <t>= {(P</t>
    </r>
    <r>
      <rPr>
        <vertAlign val="subscript"/>
        <sz val="10"/>
        <color theme="1"/>
        <rFont val="Calibri"/>
        <family val="2"/>
        <scheme val="minor"/>
      </rPr>
      <t>1</t>
    </r>
    <r>
      <rPr>
        <sz val="10"/>
        <color theme="1"/>
        <rFont val="Calibri"/>
        <family val="2"/>
        <scheme val="minor"/>
      </rPr>
      <t>)</t>
    </r>
    <r>
      <rPr>
        <vertAlign val="superscript"/>
        <sz val="10"/>
        <color theme="1"/>
        <rFont val="Calibri"/>
        <family val="2"/>
        <scheme val="minor"/>
      </rPr>
      <t xml:space="preserve">2 </t>
    </r>
    <r>
      <rPr>
        <sz val="11"/>
        <color theme="1"/>
        <rFont val="Calibri"/>
        <family val="2"/>
        <scheme val="minor"/>
      </rPr>
      <t>- (L</t>
    </r>
    <r>
      <rPr>
        <vertAlign val="subscript"/>
        <sz val="10"/>
        <color theme="1"/>
        <rFont val="Calibri"/>
        <family val="2"/>
        <scheme val="minor"/>
      </rPr>
      <t>e</t>
    </r>
    <r>
      <rPr>
        <sz val="11"/>
        <color theme="1"/>
        <rFont val="Calibri"/>
        <family val="2"/>
        <scheme val="minor"/>
      </rPr>
      <t>*G</t>
    </r>
    <r>
      <rPr>
        <vertAlign val="superscript"/>
        <sz val="10"/>
        <color theme="1"/>
        <rFont val="Calibri"/>
        <family val="2"/>
        <scheme val="minor"/>
      </rPr>
      <t>0.951</t>
    </r>
    <r>
      <rPr>
        <sz val="11"/>
        <color theme="1"/>
        <rFont val="Calibri"/>
        <family val="2"/>
        <scheme val="minor"/>
      </rPr>
      <t>*Z*T</t>
    </r>
    <r>
      <rPr>
        <vertAlign val="subscript"/>
        <sz val="10"/>
        <color theme="1"/>
        <rFont val="Calibri"/>
        <family val="2"/>
        <scheme val="minor"/>
      </rPr>
      <t>f</t>
    </r>
    <r>
      <rPr>
        <sz val="11"/>
        <color theme="1"/>
        <rFont val="Calibri"/>
        <family val="2"/>
        <scheme val="minor"/>
      </rPr>
      <t>)*[Q/(737*E*(T</t>
    </r>
    <r>
      <rPr>
        <vertAlign val="subscript"/>
        <sz val="10"/>
        <color theme="1"/>
        <rFont val="Calibri"/>
        <family val="2"/>
        <scheme val="minor"/>
      </rPr>
      <t>b</t>
    </r>
    <r>
      <rPr>
        <sz val="11"/>
        <color theme="1"/>
        <rFont val="Calibri"/>
        <family val="2"/>
        <scheme val="minor"/>
      </rPr>
      <t>/P</t>
    </r>
    <r>
      <rPr>
        <vertAlign val="subscript"/>
        <sz val="10"/>
        <color theme="1"/>
        <rFont val="Calibri"/>
        <family val="2"/>
        <scheme val="minor"/>
      </rPr>
      <t>b</t>
    </r>
    <r>
      <rPr>
        <sz val="11"/>
        <color theme="1"/>
        <rFont val="Calibri"/>
        <family val="2"/>
        <scheme val="minor"/>
      </rPr>
      <t>)</t>
    </r>
    <r>
      <rPr>
        <vertAlign val="superscript"/>
        <sz val="10"/>
        <color theme="1"/>
        <rFont val="Calibri"/>
        <family val="2"/>
        <scheme val="minor"/>
      </rPr>
      <t>1.02</t>
    </r>
    <r>
      <rPr>
        <sz val="11"/>
        <color theme="1"/>
        <rFont val="Calibri"/>
        <family val="2"/>
        <scheme val="minor"/>
      </rPr>
      <t>*D</t>
    </r>
    <r>
      <rPr>
        <vertAlign val="superscript"/>
        <sz val="10"/>
        <color theme="1"/>
        <rFont val="Calibri"/>
        <family val="2"/>
        <scheme val="minor"/>
      </rPr>
      <t>2.53</t>
    </r>
    <r>
      <rPr>
        <sz val="11"/>
        <color theme="1"/>
        <rFont val="Calibri"/>
        <family val="2"/>
        <scheme val="minor"/>
      </rPr>
      <t>)]</t>
    </r>
    <r>
      <rPr>
        <vertAlign val="superscript"/>
        <sz val="10"/>
        <color theme="1"/>
        <rFont val="Calibri"/>
        <family val="2"/>
        <scheme val="minor"/>
      </rPr>
      <t>1/0.51</t>
    </r>
    <r>
      <rPr>
        <sz val="11"/>
        <color theme="1"/>
        <rFont val="Calibri"/>
        <family val="2"/>
        <scheme val="minor"/>
      </rPr>
      <t>}</t>
    </r>
    <r>
      <rPr>
        <vertAlign val="superscript"/>
        <sz val="10"/>
        <color theme="1"/>
        <rFont val="Calibri"/>
        <family val="2"/>
        <scheme val="minor"/>
      </rPr>
      <t>0.5</t>
    </r>
  </si>
  <si>
    <t>Nomenclature</t>
  </si>
  <si>
    <t>Q,  Flow Rate (ft3/day)</t>
  </si>
  <si>
    <r>
      <t>T</t>
    </r>
    <r>
      <rPr>
        <vertAlign val="subscript"/>
        <sz val="10"/>
        <color theme="1"/>
        <rFont val="Calibri"/>
        <family val="2"/>
        <scheme val="minor"/>
      </rPr>
      <t>b</t>
    </r>
    <r>
      <rPr>
        <sz val="11"/>
        <color theme="1"/>
        <rFont val="Calibri"/>
        <family val="2"/>
        <scheme val="minor"/>
      </rPr>
      <t>, Temperature Base (520 °R)</t>
    </r>
  </si>
  <si>
    <r>
      <rPr>
        <sz val="10"/>
        <color theme="1"/>
        <rFont val="Calibri"/>
        <family val="2"/>
        <scheme val="minor"/>
      </rPr>
      <t>P</t>
    </r>
    <r>
      <rPr>
        <vertAlign val="subscript"/>
        <sz val="10"/>
        <color theme="1"/>
        <rFont val="Calibri"/>
        <family val="2"/>
        <scheme val="minor"/>
      </rPr>
      <t>b</t>
    </r>
    <r>
      <rPr>
        <sz val="11"/>
        <color theme="1"/>
        <rFont val="Calibri"/>
        <family val="2"/>
        <scheme val="minor"/>
      </rPr>
      <t>, Pressure Base (14.65 psia)</t>
    </r>
  </si>
  <si>
    <t>D,  Internal Diameter (in)</t>
  </si>
  <si>
    <r>
      <t>P</t>
    </r>
    <r>
      <rPr>
        <vertAlign val="subscript"/>
        <sz val="10"/>
        <color theme="1"/>
        <rFont val="Calibri"/>
        <family val="2"/>
        <scheme val="minor"/>
      </rPr>
      <t>1</t>
    </r>
    <r>
      <rPr>
        <sz val="11"/>
        <color theme="1"/>
        <rFont val="Calibri"/>
        <family val="2"/>
        <scheme val="minor"/>
      </rPr>
      <t>,  Upstream Pressure (psia)</t>
    </r>
  </si>
  <si>
    <r>
      <t>P</t>
    </r>
    <r>
      <rPr>
        <vertAlign val="subscript"/>
        <sz val="10"/>
        <color theme="1"/>
        <rFont val="Calibri"/>
        <family val="2"/>
        <scheme val="minor"/>
      </rPr>
      <t>2</t>
    </r>
    <r>
      <rPr>
        <sz val="11"/>
        <color theme="1"/>
        <rFont val="Calibri"/>
        <family val="2"/>
        <scheme val="minor"/>
      </rPr>
      <t>,  Downstream Pressure (psia)</t>
    </r>
  </si>
  <si>
    <t>G, Gas Specific Gravity</t>
  </si>
  <si>
    <r>
      <t>L</t>
    </r>
    <r>
      <rPr>
        <vertAlign val="subscript"/>
        <sz val="10"/>
        <color theme="1"/>
        <rFont val="Calibri"/>
        <family val="2"/>
        <scheme val="minor"/>
      </rPr>
      <t>e</t>
    </r>
    <r>
      <rPr>
        <sz val="11"/>
        <color theme="1"/>
        <rFont val="Calibri"/>
        <family val="2"/>
        <scheme val="minor"/>
      </rPr>
      <t>.  Pipe Segment Length including Expansion (miles)</t>
    </r>
  </si>
  <si>
    <r>
      <t>T</t>
    </r>
    <r>
      <rPr>
        <vertAlign val="subscript"/>
        <sz val="10"/>
        <color theme="1"/>
        <rFont val="Calibri"/>
        <family val="2"/>
        <scheme val="minor"/>
      </rPr>
      <t>f</t>
    </r>
    <r>
      <rPr>
        <sz val="11"/>
        <color theme="1"/>
        <rFont val="Calibri"/>
        <family val="2"/>
        <scheme val="minor"/>
      </rPr>
      <t>,  Gas Flowing Temperature (°R)</t>
    </r>
  </si>
  <si>
    <t>E, Pipeline Efficiency factor (.92 for wet gas, 0.98 for dry gas)</t>
  </si>
  <si>
    <t>Z,  Compressibility factor</t>
  </si>
  <si>
    <t xml:space="preserve"> &lt;= input provided from Drawing tab</t>
  </si>
  <si>
    <t xml:space="preserve">  &lt;= user input</t>
  </si>
  <si>
    <t>in. ID</t>
  </si>
  <si>
    <t>Example: 100 MMscfd of wellhead natural gas from a Delaware Basin area is flowing into a compressor station.  Any free water is removed and any NGLs are pumped into the outlet line for removal</t>
  </si>
  <si>
    <t>1) assume 0.5% field losses and unaccountables</t>
  </si>
  <si>
    <t>4) assume average temperature data from tab Chart A- Weather  (for Midland Texas)</t>
  </si>
  <si>
    <t>5) Pressure drop in inlet and outlet pipelines are from tabs" PD 1to2" and "PD 6to7" using Darcy-Weisbach correlations.</t>
  </si>
  <si>
    <t xml:space="preserve">     User can can reference pressure drop from Weymouth, Panhandle A or Panhandle B correlations</t>
  </si>
  <si>
    <t xml:space="preserve">     Inputs are provided from Drawing tab with the exception of VLE correlation to be used.  For this example we will select Wilson correlation</t>
  </si>
  <si>
    <t>6) click on Flash A tab</t>
  </si>
  <si>
    <t>7) click on Flash B tab</t>
  </si>
  <si>
    <t xml:space="preserve">    review the estimated Hp/MMscf and compare to GPSA chart.  You can overwrite the input if needed.</t>
  </si>
  <si>
    <t xml:space="preserve">9) you can also review the estimate ngl dropout rate at the plant inlet receiver with that provided in the "Dropout Chart" tab.  </t>
  </si>
  <si>
    <t xml:space="preserve">     enter 1 to calulate using Wilson Correlation K values, 2 for Standing Correlation K values </t>
  </si>
  <si>
    <t xml:space="preserve">     click on Data in the ribbon, then Solver, then Solve.  When the solver has competed you will see a box showing that it has completed.</t>
  </si>
  <si>
    <t xml:space="preserve">     in this example, the solver can not find a solution, which means that no liquid phase is present</t>
  </si>
  <si>
    <t>8) click on "HP Est Tool" tab</t>
  </si>
  <si>
    <t>Gas Quality from "Composition" tab or user input</t>
  </si>
  <si>
    <t>ΔP, psi</t>
  </si>
  <si>
    <t>ΔP  correlation to be used</t>
  </si>
  <si>
    <t xml:space="preserve">     enter 1 for Darcy-Weisbach, 2 for Panhandle B</t>
  </si>
  <si>
    <t xml:space="preserve">    The chart estimates about 200 Bpd for Delaware basin gas vs. 106 Bpd estimated from workbook calcs</t>
  </si>
  <si>
    <t>These version does not require a solver add-in</t>
  </si>
  <si>
    <t>Author recommends using the Standing correlation. especially when pressures exceed 400 psia (see analysis below, row 270)</t>
  </si>
  <si>
    <t>Fraction of feed vaporized</t>
  </si>
  <si>
    <t>Physical Properties of Feed Stream (GPSA Handbook)</t>
  </si>
  <si>
    <t>Composition mol%</t>
  </si>
  <si>
    <t>GPM,   gals/Mcf</t>
  </si>
  <si>
    <t>Boiling Pt, F@1atm</t>
  </si>
  <si>
    <t>Vap Pres, psia@100F</t>
  </si>
  <si>
    <t xml:space="preserve">Freezing Pt F </t>
  </si>
  <si>
    <t>Crit Pres, psia</t>
  </si>
  <si>
    <t>Crit. Temp F</t>
  </si>
  <si>
    <t>Liquid Spec Grav</t>
  </si>
  <si>
    <t>Liq Dens lb/gal</t>
  </si>
  <si>
    <t>Liq Dens gal/lbmol</t>
  </si>
  <si>
    <t>Vapor Spec Grav</t>
  </si>
  <si>
    <t>Vap Dens ft3/lb</t>
  </si>
  <si>
    <t>Cp, Gas Btu/lb-F</t>
  </si>
  <si>
    <t>Cp, Liq Btu/lb-F</t>
  </si>
  <si>
    <t>Hv, gas Btu/ft3</t>
  </si>
  <si>
    <t>Hv, liq Btu/lb</t>
  </si>
  <si>
    <t>C7H16</t>
  </si>
  <si>
    <t>Correlations, Use and Examples</t>
  </si>
  <si>
    <t xml:space="preserve">  </t>
  </si>
  <si>
    <t>Calculation Section (finding B - fraction vaporized- that minimizes Rachford Rice Equation)</t>
  </si>
  <si>
    <t>min at &lt;1</t>
  </si>
  <si>
    <t>Comparison of three vapor liquid equilibrium equations for 5.2GPM, 1174 Btu/cf well-head natural gas stream</t>
  </si>
  <si>
    <t>Peng Robinson results were provided with the use of DWSim process simulator</t>
  </si>
  <si>
    <t>Standing and Wilson results were provided from models above</t>
  </si>
  <si>
    <t>T, F</t>
  </si>
  <si>
    <t>PengRobinson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</si>
</sst>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000"/>
    <numFmt numFmtId="167" formatCode="0.0%"/>
    <numFmt numFmtId="168" formatCode="0.000E+00"/>
    <numFmt numFmtId="169" formatCode="0.00000"/>
    <numFmt numFmtId="170" formatCode="#,##0.0"/>
  </numFmts>
  <fonts count="46">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11"/>
      <color theme="0"/>
      <name val="Calibri"/>
      <family val="2"/>
      <scheme val="minor"/>
    </font>
    <font>
      <i/>
      <sz val="11"/>
      <color theme="1"/>
      <name val="Calibri"/>
      <family val="2"/>
      <scheme val="minor"/>
    </font>
    <font>
      <b/>
      <sz val="16"/>
      <color theme="1"/>
      <name val="Calibri"/>
      <family val="2"/>
      <scheme val="minor"/>
    </font>
    <font>
      <u/>
      <sz val="11"/>
      <color theme="1"/>
      <name val="Calibri"/>
      <family val="2"/>
      <scheme val="minor"/>
    </font>
    <font>
      <b/>
      <sz val="14"/>
      <color theme="1"/>
      <name val="Calibri"/>
      <family val="2"/>
      <scheme val="minor"/>
    </font>
    <font>
      <sz val="11"/>
      <color theme="1"/>
      <name val="Calibri"/>
      <family val="2"/>
      <scheme val="minor"/>
    </font>
    <font>
      <sz val="9"/>
      <name val="Geneva"/>
    </font>
    <font>
      <sz val="9"/>
      <name val="Arial"/>
      <family val="2"/>
    </font>
    <font>
      <vertAlign val="subscript"/>
      <sz val="11"/>
      <color theme="1"/>
      <name val="Calibri"/>
      <family val="2"/>
      <scheme val="minor"/>
    </font>
    <font>
      <sz val="11"/>
      <color rgb="FF000000"/>
      <name val="Calibri"/>
      <family val="2"/>
    </font>
    <font>
      <u/>
      <sz val="11"/>
      <color theme="10"/>
      <name val="Calibri"/>
      <family val="2"/>
      <scheme val="minor"/>
    </font>
    <font>
      <b/>
      <sz val="10"/>
      <color indexed="12"/>
      <name val="Arial"/>
      <family val="2"/>
    </font>
    <font>
      <vertAlign val="superscript"/>
      <sz val="10"/>
      <name val="Arial"/>
      <family val="2"/>
    </font>
    <font>
      <vertAlign val="subscript"/>
      <sz val="10"/>
      <name val="Arial"/>
      <family val="2"/>
    </font>
    <font>
      <b/>
      <sz val="10"/>
      <color indexed="17"/>
      <name val="Arial"/>
      <family val="2"/>
    </font>
    <font>
      <sz val="10"/>
      <color theme="1"/>
      <name val="Calibri"/>
      <family val="2"/>
      <scheme val="minor"/>
    </font>
    <font>
      <vertAlign val="subscript"/>
      <sz val="9"/>
      <name val="Arial"/>
      <family val="2"/>
    </font>
    <font>
      <vertAlign val="subscript"/>
      <sz val="8"/>
      <name val="Arial"/>
      <family val="2"/>
    </font>
    <font>
      <vertAlign val="superscript"/>
      <sz val="9"/>
      <name val="Arial"/>
      <family val="2"/>
    </font>
    <font>
      <sz val="8"/>
      <name val="Calibri"/>
      <family val="2"/>
      <scheme val="minor"/>
    </font>
    <font>
      <b/>
      <sz val="20"/>
      <color theme="1"/>
      <name val="Calibri"/>
      <family val="2"/>
      <scheme val="minor"/>
    </font>
    <font>
      <b/>
      <i/>
      <sz val="11"/>
      <color theme="1"/>
      <name val="Calibri"/>
      <family val="2"/>
      <scheme val="minor"/>
    </font>
    <font>
      <sz val="10"/>
      <name val="Trebuchet MS"/>
      <family val="2"/>
    </font>
    <font>
      <vertAlign val="subscript"/>
      <sz val="10"/>
      <name val="Trebuchet MS"/>
      <family val="2"/>
    </font>
    <font>
      <b/>
      <i/>
      <vertAlign val="subscript"/>
      <sz val="11"/>
      <color theme="1"/>
      <name val="Calibri"/>
      <family val="2"/>
      <scheme val="minor"/>
    </font>
    <font>
      <sz val="9"/>
      <color rgb="FF000000"/>
      <name val="Arial"/>
      <family val="2"/>
    </font>
    <font>
      <vertAlign val="superscript"/>
      <sz val="9"/>
      <color rgb="FF000000"/>
      <name val="Arial"/>
      <family val="2"/>
    </font>
    <font>
      <i/>
      <sz val="9"/>
      <color rgb="FF000000"/>
      <name val="Arial"/>
      <family val="2"/>
    </font>
    <font>
      <i/>
      <vertAlign val="subscript"/>
      <sz val="9"/>
      <color rgb="FF000000"/>
      <name val="Arial"/>
      <family val="2"/>
    </font>
    <font>
      <vertAlign val="subscript"/>
      <sz val="9"/>
      <color rgb="FF000000"/>
      <name val="Arial"/>
      <family val="2"/>
    </font>
    <font>
      <i/>
      <u/>
      <sz val="11"/>
      <color theme="1"/>
      <name val="Calibri"/>
      <family val="2"/>
      <scheme val="minor"/>
    </font>
    <font>
      <sz val="14"/>
      <color theme="1"/>
      <name val="Calibri"/>
      <family val="2"/>
      <scheme val="minor"/>
    </font>
    <font>
      <b/>
      <sz val="9"/>
      <color theme="1"/>
      <name val="Calibri"/>
      <family val="2"/>
      <scheme val="minor"/>
    </font>
    <font>
      <b/>
      <u/>
      <sz val="14"/>
      <color theme="1"/>
      <name val="Calibri"/>
      <family val="2"/>
      <scheme val="minor"/>
    </font>
    <font>
      <vertAlign val="subscript"/>
      <sz val="9"/>
      <color theme="1"/>
      <name val="Calibri"/>
      <family val="2"/>
      <scheme val="minor"/>
    </font>
    <font>
      <vertAlign val="superscript"/>
      <sz val="10"/>
      <color theme="1"/>
      <name val="Calibri"/>
      <family val="2"/>
      <scheme val="minor"/>
    </font>
    <font>
      <vertAlign val="superscript"/>
      <sz val="11"/>
      <color theme="1"/>
      <name val="Calibri"/>
      <family val="2"/>
      <scheme val="minor"/>
    </font>
    <font>
      <b/>
      <i/>
      <sz val="12"/>
      <color theme="1"/>
      <name val="Calibri"/>
      <family val="2"/>
      <scheme val="minor"/>
    </font>
    <font>
      <vertAlign val="subscript"/>
      <sz val="10"/>
      <color theme="1"/>
      <name val="Calibri"/>
      <family val="2"/>
      <scheme val="minor"/>
    </font>
    <font>
      <sz val="11"/>
      <name val="Calibri"/>
      <family val="2"/>
      <scheme val="minor"/>
    </font>
    <font>
      <b/>
      <i/>
      <sz val="9"/>
      <color theme="1"/>
      <name val="Calibri"/>
      <family val="2"/>
      <scheme val="minor"/>
    </font>
    <font>
      <b/>
      <sz val="12"/>
      <color theme="1"/>
      <name val="Calibri"/>
      <family val="2"/>
      <scheme val="minor"/>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31829B"/>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B9CAE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tint="0.89999084444715716"/>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5">
    <xf numFmtId="0" fontId="0" fillId="0" borderId="0"/>
    <xf numFmtId="0" fontId="9" fillId="0" borderId="0"/>
    <xf numFmtId="0" fontId="10" fillId="0" borderId="0"/>
    <xf numFmtId="0" fontId="13" fillId="0" borderId="0"/>
    <xf numFmtId="0" fontId="14" fillId="0" borderId="0" applyNumberFormat="0" applyFill="0" applyBorder="0" applyAlignment="0" applyProtection="0"/>
  </cellStyleXfs>
  <cellXfs count="393">
    <xf numFmtId="0" fontId="0" fillId="0" borderId="0" xfId="0"/>
    <xf numFmtId="0" fontId="0" fillId="3" borderId="0" xfId="0" applyFill="1"/>
    <xf numFmtId="0" fontId="0" fillId="3" borderId="0" xfId="0" applyFill="1" applyAlignment="1">
      <alignment horizontal="center"/>
    </xf>
    <xf numFmtId="0" fontId="1" fillId="3" borderId="0" xfId="0" applyFont="1" applyFill="1"/>
    <xf numFmtId="0" fontId="0" fillId="3" borderId="2" xfId="0" applyFill="1" applyBorder="1"/>
    <xf numFmtId="0" fontId="0" fillId="3" borderId="4" xfId="0" applyFill="1" applyBorder="1"/>
    <xf numFmtId="0" fontId="0" fillId="3" borderId="1" xfId="0" applyFill="1"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xf numFmtId="0" fontId="0" fillId="3" borderId="8" xfId="0" applyFill="1" applyBorder="1"/>
    <xf numFmtId="10" fontId="0" fillId="3" borderId="0" xfId="0" applyNumberFormat="1" applyFill="1" applyAlignment="1">
      <alignment horizontal="center"/>
    </xf>
    <xf numFmtId="2" fontId="0" fillId="3" borderId="0" xfId="0" applyNumberFormat="1" applyFill="1" applyAlignment="1">
      <alignment horizontal="center"/>
    </xf>
    <xf numFmtId="3" fontId="0" fillId="3" borderId="0" xfId="0" applyNumberFormat="1" applyFill="1" applyAlignment="1">
      <alignment horizontal="center"/>
    </xf>
    <xf numFmtId="0" fontId="1" fillId="3" borderId="0" xfId="0" applyFont="1" applyFill="1" applyAlignment="1">
      <alignment horizontal="left"/>
    </xf>
    <xf numFmtId="1" fontId="0" fillId="3" borderId="0" xfId="0" applyNumberFormat="1" applyFill="1"/>
    <xf numFmtId="0" fontId="2" fillId="3" borderId="0" xfId="0" applyFont="1" applyFill="1"/>
    <xf numFmtId="164" fontId="0" fillId="3" borderId="0" xfId="0" applyNumberFormat="1" applyFill="1" applyAlignment="1">
      <alignment horizontal="center"/>
    </xf>
    <xf numFmtId="0" fontId="3" fillId="3" borderId="5" xfId="0" applyFont="1" applyFill="1" applyBorder="1" applyAlignment="1">
      <alignment horizontal="center"/>
    </xf>
    <xf numFmtId="2" fontId="0" fillId="3" borderId="1" xfId="0" applyNumberFormat="1" applyFill="1" applyBorder="1" applyAlignment="1">
      <alignment horizontal="center"/>
    </xf>
    <xf numFmtId="164" fontId="0" fillId="3" borderId="1" xfId="0" applyNumberFormat="1" applyFill="1" applyBorder="1" applyAlignment="1">
      <alignment horizontal="center"/>
    </xf>
    <xf numFmtId="165" fontId="0" fillId="3" borderId="1" xfId="0" applyNumberForma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0" fontId="1" fillId="3" borderId="0" xfId="0" applyFont="1" applyFill="1" applyAlignment="1">
      <alignment horizontal="center"/>
    </xf>
    <xf numFmtId="2" fontId="0" fillId="3" borderId="11" xfId="0" applyNumberFormat="1" applyFill="1" applyBorder="1" applyAlignment="1">
      <alignment horizontal="center"/>
    </xf>
    <xf numFmtId="0" fontId="0" fillId="6" borderId="11" xfId="0" applyFill="1" applyBorder="1" applyAlignment="1">
      <alignment horizontal="center"/>
    </xf>
    <xf numFmtId="2" fontId="0" fillId="3" borderId="5" xfId="0" applyNumberFormat="1" applyFill="1" applyBorder="1" applyAlignment="1">
      <alignment horizontal="center"/>
    </xf>
    <xf numFmtId="0" fontId="0" fillId="6" borderId="1" xfId="0" applyFill="1" applyBorder="1" applyAlignment="1">
      <alignment horizontal="center"/>
    </xf>
    <xf numFmtId="2" fontId="0" fillId="6" borderId="1" xfId="0" applyNumberFormat="1" applyFill="1" applyBorder="1" applyAlignment="1">
      <alignment horizontal="center"/>
    </xf>
    <xf numFmtId="0" fontId="0" fillId="6" borderId="5" xfId="0" applyFill="1" applyBorder="1" applyAlignment="1">
      <alignment horizontal="center"/>
    </xf>
    <xf numFmtId="164" fontId="0" fillId="6" borderId="1" xfId="0" applyNumberFormat="1" applyFill="1" applyBorder="1" applyAlignment="1">
      <alignment horizontal="center"/>
    </xf>
    <xf numFmtId="10" fontId="0" fillId="5" borderId="1" xfId="0" applyNumberFormat="1" applyFill="1" applyBorder="1" applyAlignment="1">
      <alignment horizontal="center"/>
    </xf>
    <xf numFmtId="0" fontId="0" fillId="0" borderId="0" xfId="0" applyAlignment="1">
      <alignment horizontal="center"/>
    </xf>
    <xf numFmtId="10" fontId="0" fillId="4" borderId="1" xfId="0" applyNumberFormat="1" applyFill="1" applyBorder="1" applyAlignment="1">
      <alignment horizontal="center"/>
    </xf>
    <xf numFmtId="10" fontId="0" fillId="7" borderId="0" xfId="0" applyNumberFormat="1" applyFill="1" applyAlignment="1">
      <alignment horizontal="center"/>
    </xf>
    <xf numFmtId="10" fontId="0" fillId="3" borderId="1" xfId="0" applyNumberFormat="1" applyFill="1" applyBorder="1" applyAlignment="1">
      <alignment horizontal="center"/>
    </xf>
    <xf numFmtId="0" fontId="1" fillId="2" borderId="9" xfId="0" applyFont="1" applyFill="1" applyBorder="1"/>
    <xf numFmtId="0" fontId="1" fillId="2" borderId="1" xfId="0" applyFont="1" applyFill="1" applyBorder="1" applyAlignment="1">
      <alignment horizontal="center"/>
    </xf>
    <xf numFmtId="0" fontId="0" fillId="7" borderId="1" xfId="0" applyFill="1" applyBorder="1"/>
    <xf numFmtId="0" fontId="0" fillId="8" borderId="2" xfId="0" applyFill="1" applyBorder="1" applyAlignment="1">
      <alignment horizontal="center"/>
    </xf>
    <xf numFmtId="0" fontId="4" fillId="8" borderId="3" xfId="0" applyFont="1" applyFill="1" applyBorder="1"/>
    <xf numFmtId="0" fontId="0" fillId="8" borderId="3" xfId="0" applyFill="1" applyBorder="1"/>
    <xf numFmtId="0" fontId="0" fillId="0" borderId="1" xfId="0" applyBorder="1" applyAlignment="1">
      <alignment horizontal="center"/>
    </xf>
    <xf numFmtId="0" fontId="0" fillId="0" borderId="13" xfId="0" applyBorder="1"/>
    <xf numFmtId="0" fontId="5" fillId="0" borderId="14" xfId="0" applyFont="1" applyBorder="1" applyAlignment="1">
      <alignment horizontal="center"/>
    </xf>
    <xf numFmtId="0" fontId="5" fillId="0" borderId="14" xfId="0" applyFont="1" applyBorder="1" applyAlignment="1">
      <alignment horizontal="centerContinuous"/>
    </xf>
    <xf numFmtId="1" fontId="0" fillId="0" borderId="0" xfId="0" applyNumberFormat="1" applyAlignment="1">
      <alignment horizontal="center"/>
    </xf>
    <xf numFmtId="1" fontId="0" fillId="0" borderId="1" xfId="0" applyNumberFormat="1" applyBorder="1" applyAlignment="1">
      <alignment horizontal="center"/>
    </xf>
    <xf numFmtId="0" fontId="0" fillId="3" borderId="1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1" xfId="0" applyFill="1" applyBorder="1" applyAlignment="1">
      <alignment horizontal="center" vertical="center"/>
    </xf>
    <xf numFmtId="0" fontId="0" fillId="0" borderId="5" xfId="0" applyBorder="1"/>
    <xf numFmtId="0" fontId="0" fillId="3" borderId="0" xfId="0" applyFill="1" applyAlignment="1">
      <alignment horizontal="left"/>
    </xf>
    <xf numFmtId="0" fontId="0" fillId="3" borderId="5" xfId="0" applyFill="1" applyBorder="1" applyAlignment="1">
      <alignment horizontal="center" vertical="center"/>
    </xf>
    <xf numFmtId="0" fontId="1" fillId="0" borderId="1" xfId="0" applyFont="1" applyBorder="1" applyAlignment="1">
      <alignment horizontal="center"/>
    </xf>
    <xf numFmtId="1" fontId="1" fillId="0" borderId="1" xfId="0" applyNumberFormat="1" applyFont="1" applyBorder="1" applyAlignment="1">
      <alignment horizontal="center"/>
    </xf>
    <xf numFmtId="0" fontId="0" fillId="3" borderId="3" xfId="0" applyFill="1" applyBorder="1"/>
    <xf numFmtId="0" fontId="0" fillId="8" borderId="4" xfId="0" applyFill="1" applyBorder="1" applyAlignment="1">
      <alignment horizontal="center"/>
    </xf>
    <xf numFmtId="10" fontId="0" fillId="0" borderId="1" xfId="0" applyNumberFormat="1" applyBorder="1" applyAlignment="1">
      <alignment horizontal="center"/>
    </xf>
    <xf numFmtId="1" fontId="0" fillId="3" borderId="0" xfId="0" applyNumberFormat="1" applyFill="1" applyAlignment="1">
      <alignment horizontal="center"/>
    </xf>
    <xf numFmtId="1" fontId="0" fillId="3" borderId="1" xfId="0" applyNumberFormat="1" applyFill="1" applyBorder="1" applyAlignment="1">
      <alignment horizontal="center"/>
    </xf>
    <xf numFmtId="0" fontId="0" fillId="3" borderId="2" xfId="0" applyFill="1" applyBorder="1" applyAlignment="1">
      <alignment horizontal="center"/>
    </xf>
    <xf numFmtId="0" fontId="0" fillId="3" borderId="7" xfId="0" applyFill="1" applyBorder="1" applyAlignment="1">
      <alignment horizontal="center"/>
    </xf>
    <xf numFmtId="10" fontId="0" fillId="3" borderId="2" xfId="0" applyNumberFormat="1" applyFill="1" applyBorder="1" applyAlignment="1">
      <alignment horizontal="center"/>
    </xf>
    <xf numFmtId="1" fontId="0" fillId="3" borderId="2" xfId="0" applyNumberFormat="1"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10" fontId="0" fillId="3" borderId="16" xfId="0" applyNumberFormat="1" applyFill="1" applyBorder="1" applyAlignment="1">
      <alignment horizontal="center"/>
    </xf>
    <xf numFmtId="0" fontId="0" fillId="3" borderId="18" xfId="0" applyFill="1" applyBorder="1"/>
    <xf numFmtId="1" fontId="0" fillId="3" borderId="16" xfId="0" applyNumberFormat="1" applyFill="1" applyBorder="1" applyAlignment="1">
      <alignment horizontal="center"/>
    </xf>
    <xf numFmtId="165" fontId="0" fillId="3" borderId="16" xfId="0" applyNumberFormat="1" applyFill="1" applyBorder="1" applyAlignment="1">
      <alignment horizontal="center"/>
    </xf>
    <xf numFmtId="0" fontId="0" fillId="3" borderId="4" xfId="0" applyFill="1" applyBorder="1" applyAlignment="1">
      <alignment horizontal="center"/>
    </xf>
    <xf numFmtId="0" fontId="0" fillId="3" borderId="15" xfId="0" applyFill="1" applyBorder="1" applyAlignment="1">
      <alignment horizontal="center"/>
    </xf>
    <xf numFmtId="10" fontId="0" fillId="3" borderId="4" xfId="0" applyNumberFormat="1" applyFill="1" applyBorder="1" applyAlignment="1">
      <alignment horizontal="center"/>
    </xf>
    <xf numFmtId="1" fontId="0" fillId="3" borderId="4" xfId="0" applyNumberFormat="1" applyFill="1" applyBorder="1" applyAlignment="1">
      <alignment horizontal="center"/>
    </xf>
    <xf numFmtId="0" fontId="0" fillId="0" borderId="21" xfId="0" applyBorder="1" applyAlignment="1">
      <alignment horizontal="center"/>
    </xf>
    <xf numFmtId="0" fontId="0" fillId="3" borderId="22" xfId="0" applyFill="1" applyBorder="1" applyAlignment="1">
      <alignment horizontal="center"/>
    </xf>
    <xf numFmtId="0" fontId="0" fillId="3" borderId="23" xfId="0" applyFill="1" applyBorder="1"/>
    <xf numFmtId="0" fontId="0" fillId="3" borderId="24" xfId="0" applyFill="1" applyBorder="1" applyAlignment="1">
      <alignment horizontal="center"/>
    </xf>
    <xf numFmtId="0" fontId="0" fillId="3" borderId="26" xfId="0" applyFill="1" applyBorder="1"/>
    <xf numFmtId="0" fontId="0" fillId="3" borderId="27" xfId="0" applyFill="1" applyBorder="1"/>
    <xf numFmtId="0" fontId="1" fillId="3" borderId="27" xfId="0" applyFont="1" applyFill="1" applyBorder="1"/>
    <xf numFmtId="0" fontId="0" fillId="3" borderId="28" xfId="0" applyFill="1" applyBorder="1" applyAlignment="1">
      <alignment horizontal="center"/>
    </xf>
    <xf numFmtId="1" fontId="0" fillId="3" borderId="29" xfId="0" applyNumberFormat="1" applyFill="1" applyBorder="1" applyAlignment="1">
      <alignment horizontal="center"/>
    </xf>
    <xf numFmtId="1" fontId="0" fillId="3" borderId="30" xfId="0" applyNumberFormat="1" applyFill="1" applyBorder="1" applyAlignment="1">
      <alignment horizontal="center"/>
    </xf>
    <xf numFmtId="1" fontId="0" fillId="3" borderId="31" xfId="0" applyNumberFormat="1" applyFill="1" applyBorder="1" applyAlignment="1">
      <alignment horizontal="center"/>
    </xf>
    <xf numFmtId="1" fontId="0" fillId="3" borderId="32" xfId="0" applyNumberFormat="1"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0" fontId="0" fillId="3" borderId="37" xfId="0" applyFill="1" applyBorder="1" applyAlignment="1">
      <alignment horizontal="center"/>
    </xf>
    <xf numFmtId="0" fontId="0" fillId="3" borderId="20" xfId="0" applyFill="1" applyBorder="1" applyAlignment="1">
      <alignment horizontal="center"/>
    </xf>
    <xf numFmtId="0" fontId="0" fillId="3" borderId="25" xfId="0" applyFill="1" applyBorder="1" applyAlignment="1">
      <alignment horizontal="center"/>
    </xf>
    <xf numFmtId="10" fontId="0" fillId="3" borderId="20" xfId="0" applyNumberFormat="1" applyFill="1" applyBorder="1" applyAlignment="1">
      <alignment horizontal="center"/>
    </xf>
    <xf numFmtId="10" fontId="0" fillId="3" borderId="19" xfId="0" applyNumberFormat="1" applyFill="1" applyBorder="1" applyAlignment="1">
      <alignment horizontal="center"/>
    </xf>
    <xf numFmtId="10" fontId="0" fillId="3" borderId="22" xfId="0" applyNumberFormat="1" applyFill="1" applyBorder="1" applyAlignment="1">
      <alignment horizontal="center"/>
    </xf>
    <xf numFmtId="0" fontId="0" fillId="3" borderId="22" xfId="0" applyFill="1" applyBorder="1"/>
    <xf numFmtId="10" fontId="0" fillId="3" borderId="24" xfId="0" applyNumberFormat="1" applyFill="1" applyBorder="1" applyAlignment="1">
      <alignment horizontal="center"/>
    </xf>
    <xf numFmtId="0" fontId="0" fillId="0" borderId="39" xfId="0" applyBorder="1" applyAlignment="1">
      <alignment horizontal="center"/>
    </xf>
    <xf numFmtId="0" fontId="1" fillId="3" borderId="38" xfId="0" applyFont="1" applyFill="1" applyBorder="1" applyAlignment="1">
      <alignment horizontal="center"/>
    </xf>
    <xf numFmtId="0" fontId="6" fillId="0" borderId="0" xfId="0" applyFont="1"/>
    <xf numFmtId="0" fontId="5" fillId="0" borderId="0" xfId="0" applyFont="1" applyAlignment="1">
      <alignment horizontal="center"/>
    </xf>
    <xf numFmtId="164" fontId="5" fillId="0" borderId="0" xfId="0" applyNumberFormat="1" applyFont="1" applyAlignment="1">
      <alignment horizontal="center"/>
    </xf>
    <xf numFmtId="164" fontId="0" fillId="0" borderId="0" xfId="0" applyNumberFormat="1" applyAlignment="1">
      <alignment horizontal="center"/>
    </xf>
    <xf numFmtId="1" fontId="0" fillId="3" borderId="26" xfId="0" applyNumberFormat="1" applyFill="1" applyBorder="1"/>
    <xf numFmtId="0" fontId="0" fillId="3" borderId="40" xfId="0" applyFill="1" applyBorder="1"/>
    <xf numFmtId="165" fontId="0" fillId="3" borderId="18" xfId="0" applyNumberFormat="1" applyFill="1" applyBorder="1"/>
    <xf numFmtId="0" fontId="0" fillId="3" borderId="41" xfId="0" applyFill="1" applyBorder="1"/>
    <xf numFmtId="1" fontId="0" fillId="3" borderId="18" xfId="0" applyNumberFormat="1" applyFill="1" applyBorder="1"/>
    <xf numFmtId="0" fontId="0" fillId="0" borderId="41" xfId="0" applyBorder="1"/>
    <xf numFmtId="0" fontId="5" fillId="0" borderId="41" xfId="0" applyFont="1" applyBorder="1" applyAlignment="1">
      <alignment horizontal="center"/>
    </xf>
    <xf numFmtId="0" fontId="0" fillId="3" borderId="43" xfId="0" applyFill="1" applyBorder="1"/>
    <xf numFmtId="0" fontId="0" fillId="3" borderId="42" xfId="0" applyFill="1" applyBorder="1"/>
    <xf numFmtId="0" fontId="0" fillId="3" borderId="13" xfId="0" applyFill="1" applyBorder="1"/>
    <xf numFmtId="165" fontId="1" fillId="3" borderId="18" xfId="0" applyNumberFormat="1" applyFont="1" applyFill="1" applyBorder="1"/>
    <xf numFmtId="0" fontId="1" fillId="3" borderId="18" xfId="0" applyFont="1" applyFill="1" applyBorder="1"/>
    <xf numFmtId="1" fontId="1" fillId="3" borderId="18" xfId="0" applyNumberFormat="1" applyFont="1" applyFill="1" applyBorder="1"/>
    <xf numFmtId="0" fontId="0" fillId="0" borderId="27" xfId="0" applyBorder="1"/>
    <xf numFmtId="0" fontId="0" fillId="3" borderId="0" xfId="0" applyFill="1" applyAlignment="1">
      <alignment horizontal="right" indent="1"/>
    </xf>
    <xf numFmtId="1" fontId="0" fillId="3" borderId="0" xfId="0" applyNumberFormat="1" applyFill="1" applyAlignment="1">
      <alignment horizontal="right" indent="1"/>
    </xf>
    <xf numFmtId="0" fontId="0" fillId="3" borderId="0" xfId="0" quotePrefix="1" applyFill="1"/>
    <xf numFmtId="0" fontId="0" fillId="3" borderId="44" xfId="0" applyFill="1" applyBorder="1"/>
    <xf numFmtId="0" fontId="0" fillId="3" borderId="41" xfId="0" quotePrefix="1" applyFill="1" applyBorder="1"/>
    <xf numFmtId="0" fontId="7" fillId="3" borderId="45" xfId="0" applyFont="1" applyFill="1" applyBorder="1"/>
    <xf numFmtId="0" fontId="0" fillId="3" borderId="8" xfId="0" applyFill="1" applyBorder="1" applyAlignment="1">
      <alignment horizontal="center"/>
    </xf>
    <xf numFmtId="0" fontId="0" fillId="3" borderId="8" xfId="0" quotePrefix="1" applyFill="1" applyBorder="1" applyAlignment="1">
      <alignment horizontal="center"/>
    </xf>
    <xf numFmtId="165" fontId="0" fillId="3" borderId="0" xfId="0" applyNumberFormat="1" applyFill="1" applyAlignment="1">
      <alignment horizontal="right" indent="1"/>
    </xf>
    <xf numFmtId="0" fontId="0" fillId="7" borderId="0" xfId="0" applyFill="1" applyAlignment="1">
      <alignment horizontal="center"/>
    </xf>
    <xf numFmtId="167" fontId="0" fillId="7" borderId="0" xfId="0" applyNumberFormat="1" applyFill="1" applyAlignment="1">
      <alignment horizontal="center"/>
    </xf>
    <xf numFmtId="1" fontId="0" fillId="7" borderId="0" xfId="0" applyNumberFormat="1" applyFill="1" applyAlignment="1">
      <alignment horizontal="center"/>
    </xf>
    <xf numFmtId="1" fontId="0" fillId="0" borderId="0" xfId="0" applyNumberFormat="1"/>
    <xf numFmtId="0" fontId="0" fillId="3" borderId="46" xfId="0" applyFill="1" applyBorder="1" applyAlignment="1">
      <alignment horizontal="center"/>
    </xf>
    <xf numFmtId="0" fontId="0" fillId="3" borderId="47" xfId="0" applyFill="1" applyBorder="1" applyAlignment="1">
      <alignment horizontal="center"/>
    </xf>
    <xf numFmtId="10" fontId="0" fillId="3" borderId="48" xfId="0" applyNumberFormat="1" applyFill="1" applyBorder="1" applyAlignment="1">
      <alignment horizontal="center"/>
    </xf>
    <xf numFmtId="1" fontId="0" fillId="3" borderId="48" xfId="0" applyNumberFormat="1" applyFill="1" applyBorder="1" applyAlignment="1">
      <alignment horizontal="center"/>
    </xf>
    <xf numFmtId="0" fontId="0" fillId="3" borderId="48" xfId="0" applyFill="1" applyBorder="1" applyAlignment="1">
      <alignment horizontal="center"/>
    </xf>
    <xf numFmtId="10" fontId="0" fillId="3" borderId="49" xfId="0" applyNumberFormat="1" applyFill="1" applyBorder="1" applyAlignment="1">
      <alignment horizontal="center"/>
    </xf>
    <xf numFmtId="0" fontId="8" fillId="3" borderId="0" xfId="0" applyFont="1" applyFill="1"/>
    <xf numFmtId="0" fontId="4" fillId="9" borderId="0" xfId="0" applyFont="1" applyFill="1"/>
    <xf numFmtId="0" fontId="0" fillId="3" borderId="9"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164" fontId="0" fillId="3" borderId="9" xfId="0" applyNumberFormat="1" applyFill="1" applyBorder="1" applyAlignment="1">
      <alignment horizontal="center"/>
    </xf>
    <xf numFmtId="164" fontId="0" fillId="3" borderId="10" xfId="0" applyNumberFormat="1" applyFill="1" applyBorder="1" applyAlignment="1">
      <alignment horizontal="center"/>
    </xf>
    <xf numFmtId="2" fontId="0" fillId="0" borderId="1" xfId="0" applyNumberFormat="1" applyBorder="1" applyAlignment="1">
      <alignment horizontal="center"/>
    </xf>
    <xf numFmtId="1" fontId="15" fillId="0" borderId="0" xfId="0" applyNumberFormat="1" applyFont="1" applyAlignment="1">
      <alignment horizontal="center"/>
    </xf>
    <xf numFmtId="0" fontId="0" fillId="0" borderId="0" xfId="0" applyAlignment="1">
      <alignment horizontal="left"/>
    </xf>
    <xf numFmtId="0" fontId="0" fillId="0" borderId="0" xfId="0" applyAlignment="1">
      <alignment horizontal="center" vertical="center"/>
    </xf>
    <xf numFmtId="166" fontId="0" fillId="0" borderId="0" xfId="0" applyNumberFormat="1"/>
    <xf numFmtId="0" fontId="0" fillId="3" borderId="3" xfId="0" applyFill="1" applyBorder="1" applyAlignment="1">
      <alignment horizontal="center"/>
    </xf>
    <xf numFmtId="0" fontId="0" fillId="0" borderId="5" xfId="0" applyBorder="1" applyAlignment="1">
      <alignment horizontal="center"/>
    </xf>
    <xf numFmtId="166" fontId="0" fillId="3" borderId="0" xfId="0" applyNumberFormat="1" applyFill="1" applyAlignment="1">
      <alignment horizontal="center"/>
    </xf>
    <xf numFmtId="169" fontId="0" fillId="3" borderId="0" xfId="0" applyNumberFormat="1" applyFill="1" applyAlignment="1">
      <alignment horizontal="center"/>
    </xf>
    <xf numFmtId="166" fontId="3" fillId="0" borderId="0" xfId="0" applyNumberFormat="1"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0" xfId="0" applyFont="1"/>
    <xf numFmtId="0" fontId="2" fillId="0" borderId="0" xfId="0" applyFont="1"/>
    <xf numFmtId="0" fontId="2" fillId="3" borderId="0" xfId="0" applyFont="1" applyFill="1" applyAlignment="1">
      <alignment horizontal="center"/>
    </xf>
    <xf numFmtId="0" fontId="3" fillId="3" borderId="12" xfId="0" applyFont="1" applyFill="1" applyBorder="1" applyAlignment="1">
      <alignment horizontal="center"/>
    </xf>
    <xf numFmtId="0" fontId="0" fillId="0" borderId="8" xfId="0" applyBorder="1" applyAlignment="1">
      <alignment horizontal="center"/>
    </xf>
    <xf numFmtId="166" fontId="3" fillId="0" borderId="8" xfId="0" applyNumberFormat="1" applyFont="1" applyBorder="1" applyAlignment="1">
      <alignment horizontal="center"/>
    </xf>
    <xf numFmtId="1" fontId="0" fillId="0" borderId="2" xfId="0" applyNumberFormat="1" applyBorder="1" applyAlignment="1">
      <alignment horizontal="center"/>
    </xf>
    <xf numFmtId="166" fontId="0" fillId="0" borderId="1" xfId="0" applyNumberFormat="1" applyBorder="1" applyAlignment="1">
      <alignment horizontal="center"/>
    </xf>
    <xf numFmtId="166" fontId="0" fillId="3" borderId="1" xfId="0" applyNumberFormat="1" applyFill="1" applyBorder="1" applyAlignment="1">
      <alignment horizontal="center"/>
    </xf>
    <xf numFmtId="166" fontId="2" fillId="0" borderId="5" xfId="0" applyNumberFormat="1" applyFont="1" applyBorder="1" applyAlignment="1">
      <alignment horizontal="left"/>
    </xf>
    <xf numFmtId="166" fontId="0" fillId="0" borderId="5" xfId="0" applyNumberFormat="1" applyBorder="1" applyAlignment="1">
      <alignment horizontal="center"/>
    </xf>
    <xf numFmtId="0" fontId="3" fillId="3" borderId="11" xfId="0" applyFont="1" applyFill="1" applyBorder="1" applyAlignment="1">
      <alignment horizontal="center"/>
    </xf>
    <xf numFmtId="166" fontId="3" fillId="0" borderId="5" xfId="0" applyNumberFormat="1" applyFont="1" applyBorder="1" applyAlignment="1">
      <alignment horizontal="center"/>
    </xf>
    <xf numFmtId="165" fontId="0" fillId="3" borderId="0" xfId="0" applyNumberFormat="1" applyFill="1" applyAlignment="1">
      <alignment horizontal="center"/>
    </xf>
    <xf numFmtId="0" fontId="0" fillId="0" borderId="2" xfId="0" applyBorder="1" applyAlignment="1">
      <alignment horizontal="right"/>
    </xf>
    <xf numFmtId="169" fontId="18" fillId="10" borderId="3" xfId="0" applyNumberFormat="1" applyFont="1" applyFill="1" applyBorder="1" applyAlignment="1">
      <alignment horizontal="center"/>
    </xf>
    <xf numFmtId="169" fontId="0" fillId="3" borderId="3" xfId="0" applyNumberFormat="1" applyFill="1" applyBorder="1" applyAlignment="1">
      <alignment horizontal="center"/>
    </xf>
    <xf numFmtId="0" fontId="2" fillId="0" borderId="0" xfId="0" applyFont="1" applyAlignment="1">
      <alignment horizontal="left" indent="1"/>
    </xf>
    <xf numFmtId="0" fontId="2" fillId="0" borderId="2" xfId="0" applyFont="1" applyBorder="1" applyAlignment="1">
      <alignment horizontal="left" indent="1"/>
    </xf>
    <xf numFmtId="0" fontId="0" fillId="0" borderId="3" xfId="0" applyBorder="1" applyAlignment="1">
      <alignment horizontal="left"/>
    </xf>
    <xf numFmtId="0" fontId="3" fillId="0" borderId="2" xfId="0" applyFont="1" applyBorder="1" applyAlignment="1">
      <alignment horizontal="left" vertical="center"/>
    </xf>
    <xf numFmtId="0" fontId="3" fillId="0" borderId="4" xfId="0" applyFont="1" applyBorder="1"/>
    <xf numFmtId="0" fontId="19" fillId="3" borderId="2" xfId="0" applyFont="1" applyFill="1" applyBorder="1" applyAlignment="1">
      <alignment horizontal="center"/>
    </xf>
    <xf numFmtId="0" fontId="3" fillId="0" borderId="3" xfId="0" applyFont="1" applyBorder="1"/>
    <xf numFmtId="0" fontId="2" fillId="0" borderId="2" xfId="0" applyFont="1" applyBorder="1"/>
    <xf numFmtId="0" fontId="2" fillId="3" borderId="2" xfId="0" applyFont="1" applyFill="1" applyBorder="1" applyAlignment="1">
      <alignment horizontal="left" vertical="center"/>
    </xf>
    <xf numFmtId="0" fontId="3" fillId="3" borderId="4" xfId="0" applyFont="1" applyFill="1" applyBorder="1" applyAlignment="1">
      <alignment horizontal="center"/>
    </xf>
    <xf numFmtId="0" fontId="2" fillId="3" borderId="2" xfId="0" applyFont="1" applyFill="1" applyBorder="1" applyAlignment="1">
      <alignment horizontal="center"/>
    </xf>
    <xf numFmtId="0" fontId="24" fillId="0" borderId="0" xfId="0" applyFont="1"/>
    <xf numFmtId="0" fontId="14" fillId="0" borderId="0" xfId="4"/>
    <xf numFmtId="0" fontId="0" fillId="0" borderId="0" xfId="0" applyAlignment="1">
      <alignment wrapText="1"/>
    </xf>
    <xf numFmtId="0" fontId="25" fillId="0" borderId="0" xfId="0" applyFont="1" applyAlignment="1">
      <alignment horizontal="center" vertical="center" wrapText="1"/>
    </xf>
    <xf numFmtId="0" fontId="1" fillId="3" borderId="50" xfId="0" applyFont="1" applyFill="1" applyBorder="1" applyAlignment="1">
      <alignment horizontal="center"/>
    </xf>
    <xf numFmtId="169" fontId="0" fillId="3" borderId="51" xfId="0" applyNumberFormat="1" applyFill="1" applyBorder="1" applyAlignment="1">
      <alignment horizontal="center"/>
    </xf>
    <xf numFmtId="169" fontId="0" fillId="3" borderId="52" xfId="0" applyNumberFormat="1" applyFill="1" applyBorder="1" applyAlignment="1">
      <alignment horizontal="center"/>
    </xf>
    <xf numFmtId="0" fontId="0" fillId="0" borderId="0" xfId="0" applyAlignment="1">
      <alignment vertical="center"/>
    </xf>
    <xf numFmtId="0" fontId="26" fillId="0" borderId="0" xfId="0" applyFont="1" applyAlignment="1">
      <alignment horizontal="left" vertical="center"/>
    </xf>
    <xf numFmtId="0" fontId="0" fillId="0" borderId="0" xfId="0" applyAlignment="1">
      <alignment horizontal="left" vertical="center"/>
    </xf>
    <xf numFmtId="0" fontId="0" fillId="11" borderId="0" xfId="0" applyFill="1"/>
    <xf numFmtId="0" fontId="0" fillId="12" borderId="0" xfId="0" applyFill="1" applyAlignment="1">
      <alignment horizontal="center"/>
    </xf>
    <xf numFmtId="0" fontId="0" fillId="0" borderId="0" xfId="0" applyAlignment="1">
      <alignment vertical="center" wrapText="1"/>
    </xf>
    <xf numFmtId="0" fontId="29" fillId="0" borderId="0" xfId="0" applyFont="1" applyAlignment="1">
      <alignment vertical="center" wrapText="1"/>
    </xf>
    <xf numFmtId="0" fontId="0" fillId="0" borderId="0" xfId="0" quotePrefix="1"/>
    <xf numFmtId="0" fontId="3" fillId="0" borderId="0" xfId="0" applyFont="1" applyAlignment="1">
      <alignment horizontal="center"/>
    </xf>
    <xf numFmtId="165" fontId="0" fillId="3" borderId="51" xfId="0" applyNumberFormat="1" applyFill="1" applyBorder="1" applyAlignment="1">
      <alignment horizontal="center"/>
    </xf>
    <xf numFmtId="2" fontId="0" fillId="3" borderId="51" xfId="0" applyNumberFormat="1" applyFill="1" applyBorder="1" applyAlignment="1">
      <alignment horizontal="center"/>
    </xf>
    <xf numFmtId="0" fontId="0" fillId="0" borderId="3" xfId="0" applyBorder="1"/>
    <xf numFmtId="0" fontId="0" fillId="0" borderId="4" xfId="0" applyBorder="1"/>
    <xf numFmtId="0" fontId="0" fillId="0" borderId="2" xfId="0" applyBorder="1" applyAlignment="1">
      <alignment horizontal="left" indent="3"/>
    </xf>
    <xf numFmtId="0" fontId="3" fillId="3" borderId="5" xfId="0" applyFont="1" applyFill="1" applyBorder="1" applyAlignment="1">
      <alignment horizontal="left" indent="2"/>
    </xf>
    <xf numFmtId="0" fontId="3" fillId="3" borderId="1" xfId="0" applyFont="1" applyFill="1" applyBorder="1" applyAlignment="1">
      <alignment horizontal="left" indent="2"/>
    </xf>
    <xf numFmtId="0" fontId="0" fillId="0" borderId="0" xfId="0" applyAlignment="1">
      <alignment horizontal="left" indent="2"/>
    </xf>
    <xf numFmtId="0" fontId="0" fillId="0" borderId="0" xfId="0" applyAlignment="1">
      <alignment horizontal="right"/>
    </xf>
    <xf numFmtId="0" fontId="19" fillId="3" borderId="0" xfId="0" applyFont="1" applyFill="1" applyAlignment="1">
      <alignment horizontal="center"/>
    </xf>
    <xf numFmtId="0" fontId="0" fillId="0" borderId="51" xfId="0" applyBorder="1" applyAlignment="1">
      <alignment horizontal="center"/>
    </xf>
    <xf numFmtId="2" fontId="0" fillId="0" borderId="0" xfId="0" applyNumberFormat="1"/>
    <xf numFmtId="166" fontId="0" fillId="0" borderId="0" xfId="0" applyNumberFormat="1" applyAlignment="1">
      <alignment horizontal="center" vertical="center"/>
    </xf>
    <xf numFmtId="0" fontId="25" fillId="0" borderId="0" xfId="0" applyFont="1" applyAlignment="1">
      <alignment horizontal="center" vertical="center"/>
    </xf>
    <xf numFmtId="1" fontId="0" fillId="0" borderId="1" xfId="0" applyNumberFormat="1" applyBorder="1"/>
    <xf numFmtId="0" fontId="29" fillId="0" borderId="0" xfId="0" quotePrefix="1" applyFont="1" applyAlignment="1">
      <alignment vertical="center"/>
    </xf>
    <xf numFmtId="0" fontId="1" fillId="0" borderId="0" xfId="0" applyFont="1"/>
    <xf numFmtId="168" fontId="0" fillId="0" borderId="0" xfId="0" applyNumberFormat="1" applyAlignment="1">
      <alignment horizontal="center" vertical="center"/>
    </xf>
    <xf numFmtId="168" fontId="0" fillId="0" borderId="0" xfId="0" applyNumberFormat="1"/>
    <xf numFmtId="1" fontId="0" fillId="0" borderId="0" xfId="0" applyNumberFormat="1" applyAlignment="1">
      <alignment horizontal="center" vertical="center"/>
    </xf>
    <xf numFmtId="2" fontId="0" fillId="7" borderId="0" xfId="0" applyNumberFormat="1" applyFill="1"/>
    <xf numFmtId="0" fontId="0" fillId="7" borderId="0" xfId="0" quotePrefix="1" applyFill="1"/>
    <xf numFmtId="2" fontId="15" fillId="7" borderId="3" xfId="0" applyNumberFormat="1" applyFont="1" applyFill="1" applyBorder="1" applyAlignment="1">
      <alignment horizontal="center"/>
    </xf>
    <xf numFmtId="1" fontId="15" fillId="7" borderId="3" xfId="0" applyNumberFormat="1" applyFont="1" applyFill="1" applyBorder="1" applyAlignment="1">
      <alignment horizontal="center"/>
    </xf>
    <xf numFmtId="0" fontId="0" fillId="3" borderId="0" xfId="0" applyFill="1" applyAlignment="1">
      <alignment horizontal="center" vertical="center"/>
    </xf>
    <xf numFmtId="0" fontId="0" fillId="3" borderId="1" xfId="0" applyFill="1" applyBorder="1" applyAlignment="1">
      <alignment horizontal="center" vertical="center"/>
    </xf>
    <xf numFmtId="0" fontId="0" fillId="0" borderId="6" xfId="0" applyBorder="1"/>
    <xf numFmtId="0" fontId="0" fillId="0" borderId="7" xfId="0" applyBorder="1"/>
    <xf numFmtId="2" fontId="0" fillId="3" borderId="0" xfId="0" applyNumberFormat="1" applyFill="1" applyAlignment="1">
      <alignment horizontal="right" indent="1"/>
    </xf>
    <xf numFmtId="169" fontId="0" fillId="0" borderId="0" xfId="0" applyNumberFormat="1" applyAlignment="1">
      <alignment horizontal="center"/>
    </xf>
    <xf numFmtId="169" fontId="0" fillId="0" borderId="51" xfId="0" applyNumberFormat="1" applyBorder="1" applyAlignment="1">
      <alignment horizontal="center"/>
    </xf>
    <xf numFmtId="1" fontId="0" fillId="14" borderId="0" xfId="0" applyNumberFormat="1" applyFill="1" applyAlignment="1">
      <alignment horizontal="right" indent="1"/>
    </xf>
    <xf numFmtId="0" fontId="0" fillId="14" borderId="0" xfId="0" applyFill="1"/>
    <xf numFmtId="0" fontId="0" fillId="14" borderId="41" xfId="0" applyFill="1" applyBorder="1"/>
    <xf numFmtId="0" fontId="35" fillId="3" borderId="0" xfId="0" applyFont="1" applyFill="1"/>
    <xf numFmtId="166" fontId="0" fillId="14" borderId="0" xfId="0" applyNumberFormat="1" applyFill="1" applyAlignment="1">
      <alignment horizontal="center"/>
    </xf>
    <xf numFmtId="1" fontId="0" fillId="14" borderId="0" xfId="0" applyNumberFormat="1" applyFill="1" applyAlignment="1">
      <alignment horizontal="center"/>
    </xf>
    <xf numFmtId="0" fontId="0" fillId="14" borderId="0" xfId="0" applyFill="1" applyAlignment="1">
      <alignment horizontal="center"/>
    </xf>
    <xf numFmtId="1" fontId="0" fillId="3" borderId="0" xfId="0" applyNumberFormat="1" applyFill="1" applyAlignment="1">
      <alignment horizontal="right"/>
    </xf>
    <xf numFmtId="1" fontId="0" fillId="12" borderId="0" xfId="0" applyNumberFormat="1" applyFill="1" applyAlignment="1">
      <alignment horizontal="center"/>
    </xf>
    <xf numFmtId="0" fontId="4" fillId="9" borderId="2" xfId="0" applyFont="1" applyFill="1" applyBorder="1" applyAlignment="1">
      <alignment horizontal="left"/>
    </xf>
    <xf numFmtId="0" fontId="0" fillId="9" borderId="4" xfId="0" applyFill="1" applyBorder="1"/>
    <xf numFmtId="0" fontId="0" fillId="9" borderId="0" xfId="0" applyFill="1"/>
    <xf numFmtId="0" fontId="0" fillId="0" borderId="2" xfId="0" applyBorder="1"/>
    <xf numFmtId="165" fontId="0" fillId="0" borderId="1" xfId="0" applyNumberFormat="1" applyBorder="1" applyAlignment="1">
      <alignment horizontal="center"/>
    </xf>
    <xf numFmtId="165" fontId="0" fillId="0" borderId="4" xfId="0" applyNumberFormat="1" applyBorder="1" applyAlignment="1">
      <alignment horizontal="center"/>
    </xf>
    <xf numFmtId="165" fontId="0" fillId="0" borderId="1" xfId="0" applyNumberFormat="1" applyBorder="1"/>
    <xf numFmtId="0" fontId="0" fillId="0" borderId="1" xfId="0" applyBorder="1"/>
    <xf numFmtId="1" fontId="0" fillId="0" borderId="1" xfId="0" applyNumberFormat="1" applyBorder="1" applyAlignment="1">
      <alignment horizontal="center" vertical="center"/>
    </xf>
    <xf numFmtId="165" fontId="0" fillId="0" borderId="1" xfId="0" applyNumberFormat="1" applyBorder="1" applyAlignment="1">
      <alignment horizontal="center" vertical="center"/>
    </xf>
    <xf numFmtId="170" fontId="0" fillId="0" borderId="1" xfId="0" applyNumberFormat="1" applyBorder="1" applyAlignment="1">
      <alignment horizontal="center"/>
    </xf>
    <xf numFmtId="1" fontId="0" fillId="0" borderId="4" xfId="0" applyNumberFormat="1" applyBorder="1" applyAlignment="1">
      <alignment horizontal="center"/>
    </xf>
    <xf numFmtId="3" fontId="0" fillId="0" borderId="1" xfId="0" applyNumberFormat="1" applyBorder="1" applyAlignment="1">
      <alignment horizontal="center"/>
    </xf>
    <xf numFmtId="3" fontId="0" fillId="0" borderId="4" xfId="0" applyNumberFormat="1" applyBorder="1" applyAlignment="1">
      <alignment horizontal="center"/>
    </xf>
    <xf numFmtId="2" fontId="0" fillId="0" borderId="4" xfId="0" applyNumberFormat="1" applyBorder="1" applyAlignment="1">
      <alignment horizontal="center"/>
    </xf>
    <xf numFmtId="10" fontId="0" fillId="0" borderId="4" xfId="0" applyNumberFormat="1" applyBorder="1" applyAlignment="1">
      <alignment horizontal="center"/>
    </xf>
    <xf numFmtId="10" fontId="0" fillId="0" borderId="1" xfId="0" applyNumberFormat="1" applyBorder="1" applyAlignment="1">
      <alignment horizontal="center" vertical="center"/>
    </xf>
    <xf numFmtId="1" fontId="0" fillId="0" borderId="3" xfId="0" applyNumberFormat="1" applyBorder="1" applyAlignment="1">
      <alignment horizontal="center" vertical="center"/>
    </xf>
    <xf numFmtId="2" fontId="0" fillId="0" borderId="1" xfId="0" applyNumberFormat="1" applyBorder="1" applyAlignment="1">
      <alignment horizontal="center" vertical="center"/>
    </xf>
    <xf numFmtId="0" fontId="37" fillId="0" borderId="0" xfId="0" applyFont="1"/>
    <xf numFmtId="0" fontId="3" fillId="11" borderId="0" xfId="0" quotePrefix="1" applyFont="1" applyFill="1" applyAlignment="1">
      <alignment horizontal="center"/>
    </xf>
    <xf numFmtId="0" fontId="3" fillId="11" borderId="0" xfId="0" applyFont="1" applyFill="1" applyAlignment="1">
      <alignment horizontal="center"/>
    </xf>
    <xf numFmtId="0" fontId="3" fillId="11" borderId="0" xfId="0" applyFont="1" applyFill="1"/>
    <xf numFmtId="0" fontId="7" fillId="0" borderId="0" xfId="0" applyFont="1"/>
    <xf numFmtId="0" fontId="0" fillId="13" borderId="0" xfId="0" applyFill="1"/>
    <xf numFmtId="0" fontId="0" fillId="15" borderId="0" xfId="0" applyFill="1"/>
    <xf numFmtId="2" fontId="0" fillId="15" borderId="0" xfId="0" applyNumberFormat="1" applyFill="1"/>
    <xf numFmtId="0" fontId="8" fillId="0" borderId="0" xfId="0" applyFont="1"/>
    <xf numFmtId="0" fontId="19" fillId="0" borderId="0" xfId="0" applyFont="1"/>
    <xf numFmtId="0" fontId="0" fillId="0" borderId="26" xfId="0" applyBorder="1"/>
    <xf numFmtId="0" fontId="0" fillId="0" borderId="18" xfId="0" applyBorder="1"/>
    <xf numFmtId="1" fontId="0" fillId="11" borderId="0" xfId="0" applyNumberFormat="1" applyFill="1"/>
    <xf numFmtId="1" fontId="0" fillId="15" borderId="0" xfId="0" applyNumberFormat="1" applyFill="1"/>
    <xf numFmtId="0" fontId="0" fillId="0" borderId="42" xfId="0" applyBorder="1"/>
    <xf numFmtId="0" fontId="0" fillId="11" borderId="27" xfId="0" applyFill="1" applyBorder="1"/>
    <xf numFmtId="0" fontId="0" fillId="11" borderId="40" xfId="0" applyFill="1" applyBorder="1"/>
    <xf numFmtId="1" fontId="0" fillId="11" borderId="41" xfId="0" applyNumberFormat="1" applyFill="1" applyBorder="1"/>
    <xf numFmtId="1" fontId="0" fillId="0" borderId="41" xfId="0" applyNumberFormat="1" applyBorder="1"/>
    <xf numFmtId="2" fontId="0" fillId="0" borderId="41" xfId="0" applyNumberFormat="1" applyBorder="1"/>
    <xf numFmtId="0" fontId="0" fillId="0" borderId="41" xfId="0" applyBorder="1" applyAlignment="1">
      <alignment horizontal="center"/>
    </xf>
    <xf numFmtId="1" fontId="0" fillId="15" borderId="41" xfId="0" applyNumberFormat="1" applyFill="1" applyBorder="1"/>
    <xf numFmtId="1" fontId="0" fillId="15" borderId="13" xfId="0" applyNumberFormat="1" applyFill="1" applyBorder="1"/>
    <xf numFmtId="1" fontId="0" fillId="15" borderId="43" xfId="0" applyNumberFormat="1" applyFill="1" applyBorder="1"/>
    <xf numFmtId="0" fontId="8" fillId="0" borderId="13" xfId="0" applyFont="1" applyBorder="1"/>
    <xf numFmtId="0" fontId="14" fillId="3" borderId="0" xfId="4" applyFill="1"/>
    <xf numFmtId="0" fontId="0" fillId="4" borderId="0" xfId="0" applyFill="1"/>
    <xf numFmtId="0" fontId="19" fillId="3" borderId="0" xfId="0" applyFont="1" applyFill="1"/>
    <xf numFmtId="166" fontId="0" fillId="3" borderId="0" xfId="0" applyNumberFormat="1" applyFill="1"/>
    <xf numFmtId="0" fontId="0" fillId="3" borderId="0" xfId="0" applyFill="1" applyAlignment="1">
      <alignment horizontal="left" indent="1"/>
    </xf>
    <xf numFmtId="168" fontId="0" fillId="3" borderId="0" xfId="0" applyNumberFormat="1" applyFill="1"/>
    <xf numFmtId="2" fontId="0" fillId="3" borderId="0" xfId="0" applyNumberFormat="1" applyFill="1"/>
    <xf numFmtId="11" fontId="0" fillId="3" borderId="0" xfId="0" applyNumberFormat="1" applyFill="1"/>
    <xf numFmtId="10" fontId="0" fillId="0" borderId="0" xfId="0" applyNumberFormat="1"/>
    <xf numFmtId="0" fontId="40" fillId="3" borderId="0" xfId="0" applyFont="1" applyFill="1"/>
    <xf numFmtId="164" fontId="0" fillId="3" borderId="0" xfId="0" applyNumberFormat="1" applyFill="1"/>
    <xf numFmtId="0" fontId="41" fillId="3" borderId="0" xfId="0" applyFont="1" applyFill="1" applyAlignment="1">
      <alignment vertical="center" readingOrder="1"/>
    </xf>
    <xf numFmtId="0" fontId="0" fillId="3" borderId="0" xfId="0" applyFill="1" applyAlignment="1">
      <alignment vertical="center" readingOrder="1"/>
    </xf>
    <xf numFmtId="0" fontId="0" fillId="3" borderId="0" xfId="0" quotePrefix="1" applyFill="1" applyAlignment="1">
      <alignment horizontal="left" vertical="center" readingOrder="1"/>
    </xf>
    <xf numFmtId="0" fontId="0" fillId="3" borderId="0" xfId="0" applyFill="1" applyAlignment="1">
      <alignment horizontal="left" vertical="center"/>
    </xf>
    <xf numFmtId="0" fontId="0" fillId="3" borderId="0" xfId="0" quotePrefix="1" applyFill="1" applyAlignment="1">
      <alignment horizontal="left" vertical="center"/>
    </xf>
    <xf numFmtId="0" fontId="41" fillId="3" borderId="0" xfId="0" applyFont="1" applyFill="1"/>
    <xf numFmtId="0" fontId="25" fillId="3" borderId="0" xfId="0" applyFont="1" applyFill="1"/>
    <xf numFmtId="0" fontId="0" fillId="3" borderId="3" xfId="0" applyFill="1" applyBorder="1" applyAlignment="1">
      <alignment horizontal="center" vertical="center"/>
    </xf>
    <xf numFmtId="0" fontId="0" fillId="3" borderId="9" xfId="0" applyFill="1" applyBorder="1" applyAlignment="1">
      <alignment horizontal="left" indent="1"/>
    </xf>
    <xf numFmtId="0" fontId="0" fillId="3" borderId="12" xfId="0" applyFill="1" applyBorder="1"/>
    <xf numFmtId="0" fontId="0" fillId="3" borderId="12" xfId="0" applyFill="1" applyBorder="1" applyAlignment="1">
      <alignment horizontal="left"/>
    </xf>
    <xf numFmtId="11" fontId="0" fillId="3" borderId="11" xfId="0" applyNumberFormat="1" applyFill="1" applyBorder="1" applyAlignment="1">
      <alignment horizontal="center"/>
    </xf>
    <xf numFmtId="11" fontId="0" fillId="3" borderId="12" xfId="0" applyNumberFormat="1" applyFill="1" applyBorder="1" applyAlignment="1">
      <alignment horizontal="center" vertical="center"/>
    </xf>
    <xf numFmtId="0" fontId="0" fillId="3" borderId="6" xfId="0" applyFill="1" applyBorder="1" applyAlignment="1">
      <alignment horizontal="left" indent="1"/>
    </xf>
    <xf numFmtId="11" fontId="0" fillId="3" borderId="53" xfId="0" applyNumberFormat="1" applyFill="1" applyBorder="1" applyAlignment="1">
      <alignment horizontal="center"/>
    </xf>
    <xf numFmtId="166" fontId="0" fillId="3" borderId="0" xfId="0" applyNumberFormat="1" applyFill="1" applyAlignment="1">
      <alignment horizontal="center" vertical="center"/>
    </xf>
    <xf numFmtId="0" fontId="0" fillId="3" borderId="53" xfId="0" applyFill="1" applyBorder="1" applyAlignment="1">
      <alignment horizontal="center" vertical="center"/>
    </xf>
    <xf numFmtId="11" fontId="0" fillId="3" borderId="53" xfId="0" applyNumberFormat="1" applyFill="1" applyBorder="1" applyAlignment="1">
      <alignment horizontal="center" vertical="center"/>
    </xf>
    <xf numFmtId="0" fontId="0" fillId="3" borderId="7" xfId="0" applyFill="1" applyBorder="1" applyAlignment="1">
      <alignment horizontal="left" indent="1"/>
    </xf>
    <xf numFmtId="11" fontId="0" fillId="3" borderId="5" xfId="0" applyNumberFormat="1" applyFill="1" applyBorder="1" applyAlignment="1">
      <alignment horizontal="center"/>
    </xf>
    <xf numFmtId="166" fontId="0" fillId="3" borderId="8" xfId="0" applyNumberFormat="1" applyFill="1" applyBorder="1" applyAlignment="1">
      <alignment horizontal="center" vertical="center"/>
    </xf>
    <xf numFmtId="11" fontId="0" fillId="3" borderId="5" xfId="0" applyNumberFormat="1" applyFill="1" applyBorder="1" applyAlignment="1">
      <alignment horizontal="center" vertical="center"/>
    </xf>
    <xf numFmtId="0" fontId="0" fillId="3" borderId="2" xfId="0" applyFill="1" applyBorder="1" applyAlignment="1">
      <alignment horizontal="left" indent="1"/>
    </xf>
    <xf numFmtId="0" fontId="0" fillId="3" borderId="4" xfId="0" applyFill="1" applyBorder="1" applyAlignment="1">
      <alignment horizontal="center" vertical="center"/>
    </xf>
    <xf numFmtId="11" fontId="0" fillId="3" borderId="11" xfId="0" applyNumberFormat="1" applyFill="1" applyBorder="1" applyAlignment="1">
      <alignment horizontal="center" vertical="center"/>
    </xf>
    <xf numFmtId="0" fontId="0" fillId="3" borderId="6" xfId="0" applyFill="1" applyBorder="1"/>
    <xf numFmtId="11" fontId="0" fillId="3" borderId="6" xfId="0" applyNumberFormat="1" applyFill="1" applyBorder="1" applyAlignment="1">
      <alignment horizontal="center" vertical="center"/>
    </xf>
    <xf numFmtId="0" fontId="0" fillId="3" borderId="7" xfId="0" applyFill="1" applyBorder="1"/>
    <xf numFmtId="11" fontId="0" fillId="3" borderId="7" xfId="0" applyNumberFormat="1" applyFill="1" applyBorder="1" applyAlignment="1">
      <alignment horizontal="center" vertical="center"/>
    </xf>
    <xf numFmtId="2" fontId="0" fillId="3" borderId="0" xfId="0" applyNumberFormat="1" applyFill="1" applyAlignment="1">
      <alignment horizontal="center" vertical="center"/>
    </xf>
    <xf numFmtId="0" fontId="34" fillId="3" borderId="0" xfId="0" applyFont="1" applyFill="1"/>
    <xf numFmtId="0" fontId="0" fillId="16" borderId="0" xfId="0" applyFill="1"/>
    <xf numFmtId="1" fontId="0" fillId="16" borderId="0" xfId="0" applyNumberFormat="1" applyFill="1"/>
    <xf numFmtId="2" fontId="0" fillId="16" borderId="0" xfId="0" applyNumberFormat="1" applyFill="1"/>
    <xf numFmtId="0" fontId="0" fillId="17" borderId="0" xfId="0" applyFill="1"/>
    <xf numFmtId="2" fontId="0" fillId="17" borderId="0" xfId="0" applyNumberFormat="1" applyFill="1"/>
    <xf numFmtId="1" fontId="0" fillId="3" borderId="1" xfId="0" applyNumberFormat="1" applyFill="1" applyBorder="1" applyAlignment="1">
      <alignment horizontal="center" vertical="center"/>
    </xf>
    <xf numFmtId="10" fontId="0" fillId="3" borderId="0" xfId="0" applyNumberFormat="1" applyFill="1"/>
    <xf numFmtId="0" fontId="0" fillId="13" borderId="35" xfId="0" applyFill="1" applyBorder="1" applyAlignment="1">
      <alignment horizontal="center"/>
    </xf>
    <xf numFmtId="0" fontId="0" fillId="13" borderId="2" xfId="0" applyFill="1" applyBorder="1" applyAlignment="1">
      <alignment horizontal="center"/>
    </xf>
    <xf numFmtId="10" fontId="0" fillId="13" borderId="2" xfId="0" applyNumberFormat="1" applyFill="1" applyBorder="1" applyAlignment="1">
      <alignment horizontal="center"/>
    </xf>
    <xf numFmtId="1" fontId="0" fillId="13" borderId="2" xfId="0" applyNumberFormat="1" applyFill="1" applyBorder="1" applyAlignment="1">
      <alignment horizontal="center"/>
    </xf>
    <xf numFmtId="165" fontId="0" fillId="13" borderId="2" xfId="0" applyNumberFormat="1" applyFill="1" applyBorder="1" applyAlignment="1">
      <alignment horizontal="center"/>
    </xf>
    <xf numFmtId="10" fontId="0" fillId="13" borderId="25" xfId="0" applyNumberFormat="1" applyFill="1" applyBorder="1" applyAlignment="1">
      <alignment horizontal="center"/>
    </xf>
    <xf numFmtId="0" fontId="0" fillId="3" borderId="1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9"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164" fontId="0" fillId="3" borderId="9" xfId="0" applyNumberFormat="1" applyFill="1" applyBorder="1" applyAlignment="1">
      <alignment horizontal="center"/>
    </xf>
    <xf numFmtId="164" fontId="0" fillId="3" borderId="10" xfId="0" applyNumberFormat="1" applyFill="1" applyBorder="1" applyAlignment="1">
      <alignment horizontal="center"/>
    </xf>
    <xf numFmtId="0" fontId="0" fillId="6" borderId="9" xfId="0" applyFill="1" applyBorder="1" applyAlignment="1">
      <alignment horizontal="center"/>
    </xf>
    <xf numFmtId="0" fontId="0" fillId="6" borderId="12" xfId="0" applyFill="1" applyBorder="1" applyAlignment="1">
      <alignment horizontal="center"/>
    </xf>
    <xf numFmtId="0" fontId="0" fillId="6" borderId="10" xfId="0" applyFill="1" applyBorder="1" applyAlignment="1">
      <alignment horizontal="center"/>
    </xf>
    <xf numFmtId="164" fontId="0" fillId="6" borderId="9" xfId="0" applyNumberFormat="1" applyFill="1" applyBorder="1" applyAlignment="1">
      <alignment horizontal="center"/>
    </xf>
    <xf numFmtId="164" fontId="0" fillId="6" borderId="10" xfId="0" applyNumberFormat="1" applyFill="1" applyBorder="1" applyAlignment="1">
      <alignment horizontal="center"/>
    </xf>
    <xf numFmtId="0" fontId="29" fillId="0" borderId="0" xfId="0" applyFont="1" applyAlignment="1">
      <alignment vertical="center" wrapText="1"/>
    </xf>
    <xf numFmtId="0" fontId="43" fillId="0" borderId="0" xfId="4" applyFont="1" applyFill="1"/>
    <xf numFmtId="1" fontId="0" fillId="18" borderId="0" xfId="0" applyNumberFormat="1" applyFill="1" applyAlignment="1">
      <alignment horizontal="center"/>
    </xf>
    <xf numFmtId="0" fontId="0" fillId="18" borderId="1" xfId="0" applyFill="1" applyBorder="1" applyAlignment="1">
      <alignment horizontal="center"/>
    </xf>
    <xf numFmtId="0" fontId="0" fillId="3" borderId="0" xfId="0" applyFill="1" applyAlignment="1">
      <alignment horizontal="center" wrapText="1"/>
    </xf>
    <xf numFmtId="0" fontId="0" fillId="0" borderId="0" xfId="0" applyAlignment="1">
      <alignment horizontal="center" wrapText="1"/>
    </xf>
    <xf numFmtId="164" fontId="1" fillId="19" borderId="0" xfId="0" applyNumberFormat="1" applyFont="1" applyFill="1" applyAlignment="1">
      <alignment horizontal="center" vertical="center"/>
    </xf>
    <xf numFmtId="0" fontId="0" fillId="20" borderId="0" xfId="0" applyFill="1" applyAlignment="1">
      <alignment horizontal="center"/>
    </xf>
    <xf numFmtId="0" fontId="1" fillId="20" borderId="0" xfId="0" applyFont="1" applyFill="1"/>
    <xf numFmtId="0" fontId="0" fillId="20" borderId="0" xfId="0" applyFill="1" applyAlignment="1">
      <alignment horizontal="center"/>
    </xf>
    <xf numFmtId="164" fontId="0" fillId="20" borderId="0" xfId="0" applyNumberFormat="1" applyFill="1" applyAlignment="1">
      <alignment horizontal="center"/>
    </xf>
    <xf numFmtId="0" fontId="25" fillId="20" borderId="0" xfId="0" applyFont="1" applyFill="1" applyAlignment="1">
      <alignment horizontal="center" wrapText="1"/>
    </xf>
    <xf numFmtId="0" fontId="25" fillId="20" borderId="0" xfId="0" applyFont="1" applyFill="1" applyAlignment="1">
      <alignment horizontal="center"/>
    </xf>
    <xf numFmtId="0" fontId="44" fillId="20" borderId="0" xfId="0" applyFont="1" applyFill="1" applyAlignment="1">
      <alignment horizontal="center" wrapText="1"/>
    </xf>
    <xf numFmtId="2" fontId="25" fillId="20" borderId="0" xfId="0" applyNumberFormat="1" applyFont="1" applyFill="1" applyAlignment="1">
      <alignment horizontal="center" wrapText="1"/>
    </xf>
    <xf numFmtId="164" fontId="25" fillId="20" borderId="0" xfId="0" applyNumberFormat="1" applyFont="1" applyFill="1" applyAlignment="1">
      <alignment horizontal="center" wrapText="1"/>
    </xf>
    <xf numFmtId="169" fontId="0" fillId="18" borderId="0" xfId="0" applyNumberFormat="1" applyFill="1" applyAlignment="1">
      <alignment horizontal="center"/>
    </xf>
    <xf numFmtId="169" fontId="0" fillId="20" borderId="0" xfId="0" applyNumberFormat="1" applyFill="1" applyAlignment="1">
      <alignment horizontal="center"/>
    </xf>
    <xf numFmtId="2" fontId="0" fillId="20" borderId="0" xfId="0" applyNumberFormat="1" applyFill="1" applyAlignment="1">
      <alignment horizontal="center"/>
    </xf>
    <xf numFmtId="1" fontId="0" fillId="20" borderId="0" xfId="0" applyNumberFormat="1" applyFill="1" applyAlignment="1">
      <alignment horizontal="center"/>
    </xf>
    <xf numFmtId="165" fontId="0" fillId="20" borderId="0" xfId="0" applyNumberFormat="1" applyFill="1" applyAlignment="1">
      <alignment horizontal="center"/>
    </xf>
    <xf numFmtId="164" fontId="0" fillId="20" borderId="0" xfId="0" applyNumberFormat="1" applyFill="1" applyAlignment="1">
      <alignment horizontal="center"/>
    </xf>
    <xf numFmtId="166" fontId="0" fillId="20" borderId="0" xfId="0" applyNumberFormat="1" applyFill="1" applyAlignment="1">
      <alignment horizontal="center"/>
    </xf>
    <xf numFmtId="10" fontId="0" fillId="0" borderId="0" xfId="0" applyNumberFormat="1" applyAlignment="1">
      <alignment horizontal="center"/>
    </xf>
    <xf numFmtId="2" fontId="0" fillId="0" borderId="0" xfId="0" applyNumberFormat="1" applyAlignment="1">
      <alignment horizontal="center"/>
    </xf>
    <xf numFmtId="0" fontId="45" fillId="0" borderId="0" xfId="0" applyFont="1"/>
    <xf numFmtId="0" fontId="0" fillId="21" borderId="0" xfId="0" applyFill="1" applyAlignment="1">
      <alignment horizontal="center"/>
    </xf>
    <xf numFmtId="0" fontId="1" fillId="21" borderId="0" xfId="0" applyFont="1" applyFill="1"/>
    <xf numFmtId="0" fontId="0" fillId="21" borderId="0" xfId="0" applyFill="1"/>
    <xf numFmtId="0" fontId="0" fillId="21" borderId="0" xfId="0" applyFill="1" applyAlignment="1">
      <alignment horizontal="left" indent="2"/>
    </xf>
    <xf numFmtId="1" fontId="0" fillId="21" borderId="0" xfId="0" applyNumberFormat="1" applyFill="1" applyAlignment="1">
      <alignment horizontal="center"/>
    </xf>
    <xf numFmtId="0" fontId="25" fillId="20" borderId="0" xfId="0" applyFont="1" applyFill="1"/>
    <xf numFmtId="0" fontId="25" fillId="20" borderId="0" xfId="0" applyFont="1" applyFill="1" applyAlignment="1">
      <alignment horizontal="center" vertical="center"/>
    </xf>
    <xf numFmtId="1" fontId="0" fillId="20" borderId="0" xfId="0" applyNumberFormat="1" applyFill="1" applyAlignment="1">
      <alignment horizontal="center" vertical="center"/>
    </xf>
    <xf numFmtId="0" fontId="0" fillId="20" borderId="0" xfId="0" applyFill="1"/>
    <xf numFmtId="0" fontId="1" fillId="20" borderId="0" xfId="0" applyFont="1" applyFill="1" applyAlignment="1">
      <alignment horizontal="center" vertical="center"/>
    </xf>
    <xf numFmtId="0" fontId="0" fillId="20" borderId="0" xfId="0" applyFill="1" applyAlignment="1">
      <alignment horizontal="center" vertical="center"/>
    </xf>
    <xf numFmtId="0" fontId="0" fillId="20" borderId="0" xfId="0" applyFill="1" applyAlignment="1">
      <alignment horizontal="center" vertical="center" wrapText="1"/>
    </xf>
    <xf numFmtId="0" fontId="1" fillId="0" borderId="13" xfId="0" applyFont="1" applyBorder="1" applyAlignment="1">
      <alignment horizontal="center"/>
    </xf>
    <xf numFmtId="1" fontId="0" fillId="3" borderId="0" xfId="0" applyNumberFormat="1" applyFill="1" applyAlignment="1">
      <alignment horizontal="center" vertical="center"/>
    </xf>
    <xf numFmtId="169" fontId="0" fillId="3" borderId="0" xfId="0" applyNumberFormat="1" applyFill="1" applyAlignment="1">
      <alignment horizontal="center" vertical="center"/>
    </xf>
  </cellXfs>
  <cellStyles count="5">
    <cellStyle name="Hyperlink" xfId="4" builtinId="8"/>
    <cellStyle name="Normal" xfId="0" builtinId="0"/>
    <cellStyle name="Normal 2" xfId="1" xr:uid="{53509AC2-DE19-4375-9E5F-E2E504533F24}"/>
    <cellStyle name="Normal 3" xfId="2" xr:uid="{0AA8343C-6C6F-44C0-8E69-75E4DA8D3437}"/>
    <cellStyle name="Normal 3 2" xfId="3" xr:uid="{6CA82E64-4ED6-4F0B-9165-F3A59C5AEBCA}"/>
  </cellStyles>
  <dxfs count="0"/>
  <tableStyles count="0" defaultTableStyle="TableStyleMedium2" defaultPivotStyle="PivotStyleLight16"/>
  <colors>
    <mruColors>
      <color rgb="FFB9CAE3"/>
      <color rgb="FF31829B"/>
      <color rgb="FF0033CC"/>
      <color rgb="FFFFFF99"/>
      <color rgb="FFCCE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40F and various pressures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 A'!$D$253</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 A'!$C$254:$C$258</c:f>
              <c:numCache>
                <c:formatCode>General</c:formatCode>
                <c:ptCount val="5"/>
                <c:pt idx="0">
                  <c:v>1000</c:v>
                </c:pt>
                <c:pt idx="1">
                  <c:v>800</c:v>
                </c:pt>
                <c:pt idx="2">
                  <c:v>600</c:v>
                </c:pt>
                <c:pt idx="3">
                  <c:v>400</c:v>
                </c:pt>
                <c:pt idx="4" formatCode="0">
                  <c:v>200</c:v>
                </c:pt>
              </c:numCache>
            </c:numRef>
          </c:xVal>
          <c:yVal>
            <c:numRef>
              <c:f>'Flash A'!$D$254:$D$258</c:f>
              <c:numCache>
                <c:formatCode>General</c:formatCode>
                <c:ptCount val="5"/>
                <c:pt idx="0">
                  <c:v>0.96599999999999997</c:v>
                </c:pt>
                <c:pt idx="1">
                  <c:v>0.97</c:v>
                </c:pt>
                <c:pt idx="2">
                  <c:v>0.97899999999999998</c:v>
                </c:pt>
                <c:pt idx="3">
                  <c:v>0.98899999999999999</c:v>
                </c:pt>
                <c:pt idx="4" formatCode="0.00000">
                  <c:v>0.998</c:v>
                </c:pt>
              </c:numCache>
            </c:numRef>
          </c:yVal>
          <c:smooth val="1"/>
          <c:extLst>
            <c:ext xmlns:c16="http://schemas.microsoft.com/office/drawing/2014/chart" uri="{C3380CC4-5D6E-409C-BE32-E72D297353CC}">
              <c16:uniqueId val="{00000000-B4D7-452A-8416-270680E1F4EA}"/>
            </c:ext>
          </c:extLst>
        </c:ser>
        <c:ser>
          <c:idx val="1"/>
          <c:order val="1"/>
          <c:tx>
            <c:strRef>
              <c:f>'Flash A'!$E$253</c:f>
              <c:strCache>
                <c:ptCount val="1"/>
                <c:pt idx="0">
                  <c:v>Standing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'Flash A'!$C$254:$C$258</c:f>
              <c:numCache>
                <c:formatCode>General</c:formatCode>
                <c:ptCount val="5"/>
                <c:pt idx="0">
                  <c:v>1000</c:v>
                </c:pt>
                <c:pt idx="1">
                  <c:v>800</c:v>
                </c:pt>
                <c:pt idx="2">
                  <c:v>600</c:v>
                </c:pt>
                <c:pt idx="3">
                  <c:v>400</c:v>
                </c:pt>
                <c:pt idx="4" formatCode="0">
                  <c:v>200</c:v>
                </c:pt>
              </c:numCache>
            </c:numRef>
          </c:xVal>
          <c:yVal>
            <c:numRef>
              <c:f>'Flash A'!$E$254:$E$258</c:f>
              <c:numCache>
                <c:formatCode>General</c:formatCode>
                <c:ptCount val="5"/>
                <c:pt idx="0">
                  <c:v>0.96789999999999998</c:v>
                </c:pt>
                <c:pt idx="1">
                  <c:v>0.96950000000000003</c:v>
                </c:pt>
                <c:pt idx="2">
                  <c:v>0.97719999999999996</c:v>
                </c:pt>
                <c:pt idx="3">
                  <c:v>0.98929999999999996</c:v>
                </c:pt>
                <c:pt idx="4" formatCode="0.00000">
                  <c:v>1</c:v>
                </c:pt>
              </c:numCache>
            </c:numRef>
          </c:yVal>
          <c:smooth val="1"/>
          <c:extLst>
            <c:ext xmlns:c16="http://schemas.microsoft.com/office/drawing/2014/chart" uri="{C3380CC4-5D6E-409C-BE32-E72D297353CC}">
              <c16:uniqueId val="{00000001-B4D7-452A-8416-270680E1F4EA}"/>
            </c:ext>
          </c:extLst>
        </c:ser>
        <c:ser>
          <c:idx val="2"/>
          <c:order val="2"/>
          <c:tx>
            <c:strRef>
              <c:f>'Flash A'!$F$253</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 A'!$C$254:$C$258</c:f>
              <c:numCache>
                <c:formatCode>General</c:formatCode>
                <c:ptCount val="5"/>
                <c:pt idx="0">
                  <c:v>1000</c:v>
                </c:pt>
                <c:pt idx="1">
                  <c:v>800</c:v>
                </c:pt>
                <c:pt idx="2">
                  <c:v>600</c:v>
                </c:pt>
                <c:pt idx="3">
                  <c:v>400</c:v>
                </c:pt>
                <c:pt idx="4" formatCode="0">
                  <c:v>200</c:v>
                </c:pt>
              </c:numCache>
            </c:numRef>
          </c:xVal>
          <c:yVal>
            <c:numRef>
              <c:f>'Flash A'!$F$254:$F$258</c:f>
              <c:numCache>
                <c:formatCode>General</c:formatCode>
                <c:ptCount val="5"/>
                <c:pt idx="0">
                  <c:v>0.86890000000000001</c:v>
                </c:pt>
                <c:pt idx="1">
                  <c:v>0.90649999999999997</c:v>
                </c:pt>
                <c:pt idx="2">
                  <c:v>0.94079999999999997</c:v>
                </c:pt>
                <c:pt idx="3">
                  <c:v>0.97140000000000004</c:v>
                </c:pt>
                <c:pt idx="4">
                  <c:v>0.99509999999999998</c:v>
                </c:pt>
              </c:numCache>
            </c:numRef>
          </c:yVal>
          <c:smooth val="1"/>
          <c:extLst>
            <c:ext xmlns:c16="http://schemas.microsoft.com/office/drawing/2014/chart" uri="{C3380CC4-5D6E-409C-BE32-E72D297353CC}">
              <c16:uniqueId val="{00000002-B4D7-452A-8416-270680E1F4EA}"/>
            </c:ext>
          </c:extLst>
        </c:ser>
        <c:dLbls>
          <c:showLegendKey val="0"/>
          <c:showVal val="0"/>
          <c:showCatName val="0"/>
          <c:showSerName val="0"/>
          <c:showPercent val="0"/>
          <c:showBubbleSize val="0"/>
        </c:dLbls>
        <c:axId val="717471728"/>
        <c:axId val="717472088"/>
      </c:scatterChart>
      <c:valAx>
        <c:axId val="717471728"/>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2088"/>
        <c:crosses val="autoZero"/>
        <c:crossBetween val="midCat"/>
      </c:valAx>
      <c:valAx>
        <c:axId val="717472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17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80F at various</a:t>
            </a:r>
            <a:r>
              <a:rPr lang="en-US" baseline="0"/>
              <a:t> pressures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 A'!$D$270</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 A'!$C$271:$C$275</c:f>
              <c:numCache>
                <c:formatCode>General</c:formatCode>
                <c:ptCount val="5"/>
                <c:pt idx="0">
                  <c:v>1000</c:v>
                </c:pt>
                <c:pt idx="1">
                  <c:v>800</c:v>
                </c:pt>
                <c:pt idx="2">
                  <c:v>600</c:v>
                </c:pt>
                <c:pt idx="3">
                  <c:v>400</c:v>
                </c:pt>
                <c:pt idx="4" formatCode="0">
                  <c:v>200</c:v>
                </c:pt>
              </c:numCache>
            </c:numRef>
          </c:xVal>
          <c:yVal>
            <c:numRef>
              <c:f>'Flash A'!$D$271:$D$275</c:f>
              <c:numCache>
                <c:formatCode>General</c:formatCode>
                <c:ptCount val="5"/>
                <c:pt idx="0">
                  <c:v>1</c:v>
                </c:pt>
                <c:pt idx="1">
                  <c:v>1</c:v>
                </c:pt>
                <c:pt idx="2">
                  <c:v>1</c:v>
                </c:pt>
                <c:pt idx="3">
                  <c:v>1</c:v>
                </c:pt>
                <c:pt idx="4" formatCode="0.00000">
                  <c:v>1</c:v>
                </c:pt>
              </c:numCache>
            </c:numRef>
          </c:yVal>
          <c:smooth val="1"/>
          <c:extLst>
            <c:ext xmlns:c16="http://schemas.microsoft.com/office/drawing/2014/chart" uri="{C3380CC4-5D6E-409C-BE32-E72D297353CC}">
              <c16:uniqueId val="{00000000-641F-40D1-98B5-198EEC7E9924}"/>
            </c:ext>
          </c:extLst>
        </c:ser>
        <c:ser>
          <c:idx val="1"/>
          <c:order val="1"/>
          <c:tx>
            <c:strRef>
              <c:f>'Flash A'!$E$270</c:f>
              <c:strCache>
                <c:ptCount val="1"/>
                <c:pt idx="0">
                  <c:v>Standing</c:v>
                </c:pt>
              </c:strCache>
            </c:strRef>
          </c:tx>
          <c:spPr>
            <a:ln w="19050" cap="sq">
              <a:solidFill>
                <a:schemeClr val="accent2">
                  <a:lumMod val="40000"/>
                  <a:lumOff val="60000"/>
                </a:schemeClr>
              </a:solidFill>
              <a:prstDash val="sysDash"/>
              <a:round/>
            </a:ln>
            <a:effectLst/>
          </c:spPr>
          <c:marker>
            <c:symbol val="circle"/>
            <c:size val="5"/>
            <c:spPr>
              <a:solidFill>
                <a:schemeClr val="accent2"/>
              </a:solidFill>
              <a:ln w="9525">
                <a:solidFill>
                  <a:schemeClr val="accent4">
                    <a:lumMod val="40000"/>
                    <a:lumOff val="60000"/>
                  </a:schemeClr>
                </a:solidFill>
              </a:ln>
              <a:effectLst/>
            </c:spPr>
          </c:marker>
          <c:xVal>
            <c:numRef>
              <c:f>'Flash A'!$C$271:$C$275</c:f>
              <c:numCache>
                <c:formatCode>General</c:formatCode>
                <c:ptCount val="5"/>
                <c:pt idx="0">
                  <c:v>1000</c:v>
                </c:pt>
                <c:pt idx="1">
                  <c:v>800</c:v>
                </c:pt>
                <c:pt idx="2">
                  <c:v>600</c:v>
                </c:pt>
                <c:pt idx="3">
                  <c:v>400</c:v>
                </c:pt>
                <c:pt idx="4" formatCode="0">
                  <c:v>200</c:v>
                </c:pt>
              </c:numCache>
            </c:numRef>
          </c:xVal>
          <c:yVal>
            <c:numRef>
              <c:f>'Flash A'!$E$271:$E$275</c:f>
              <c:numCache>
                <c:formatCode>General</c:formatCode>
                <c:ptCount val="5"/>
                <c:pt idx="0">
                  <c:v>0.99929999999999997</c:v>
                </c:pt>
                <c:pt idx="1">
                  <c:v>0.99890000000000001</c:v>
                </c:pt>
                <c:pt idx="2">
                  <c:v>1</c:v>
                </c:pt>
                <c:pt idx="3">
                  <c:v>1</c:v>
                </c:pt>
                <c:pt idx="4" formatCode="0.00000">
                  <c:v>1</c:v>
                </c:pt>
              </c:numCache>
            </c:numRef>
          </c:yVal>
          <c:smooth val="1"/>
          <c:extLst>
            <c:ext xmlns:c16="http://schemas.microsoft.com/office/drawing/2014/chart" uri="{C3380CC4-5D6E-409C-BE32-E72D297353CC}">
              <c16:uniqueId val="{00000001-641F-40D1-98B5-198EEC7E9924}"/>
            </c:ext>
          </c:extLst>
        </c:ser>
        <c:ser>
          <c:idx val="2"/>
          <c:order val="2"/>
          <c:tx>
            <c:strRef>
              <c:f>'Flash A'!$F$270</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 A'!$C$271:$C$275</c:f>
              <c:numCache>
                <c:formatCode>General</c:formatCode>
                <c:ptCount val="5"/>
                <c:pt idx="0">
                  <c:v>1000</c:v>
                </c:pt>
                <c:pt idx="1">
                  <c:v>800</c:v>
                </c:pt>
                <c:pt idx="2">
                  <c:v>600</c:v>
                </c:pt>
                <c:pt idx="3">
                  <c:v>400</c:v>
                </c:pt>
                <c:pt idx="4" formatCode="0">
                  <c:v>200</c:v>
                </c:pt>
              </c:numCache>
            </c:numRef>
          </c:xVal>
          <c:yVal>
            <c:numRef>
              <c:f>'Flash A'!$F$271:$F$275</c:f>
              <c:numCache>
                <c:formatCode>General</c:formatCode>
                <c:ptCount val="5"/>
                <c:pt idx="0">
                  <c:v>0.94140000000000001</c:v>
                </c:pt>
                <c:pt idx="1">
                  <c:v>0.96340000000000003</c:v>
                </c:pt>
                <c:pt idx="2">
                  <c:v>0.98199999999999998</c:v>
                </c:pt>
                <c:pt idx="3">
                  <c:v>0.99570000000000003</c:v>
                </c:pt>
                <c:pt idx="4">
                  <c:v>0.99970000000000003</c:v>
                </c:pt>
              </c:numCache>
            </c:numRef>
          </c:yVal>
          <c:smooth val="1"/>
          <c:extLst>
            <c:ext xmlns:c16="http://schemas.microsoft.com/office/drawing/2014/chart" uri="{C3380CC4-5D6E-409C-BE32-E72D297353CC}">
              <c16:uniqueId val="{00000002-641F-40D1-98B5-198EEC7E9924}"/>
            </c:ext>
          </c:extLst>
        </c:ser>
        <c:dLbls>
          <c:showLegendKey val="0"/>
          <c:showVal val="0"/>
          <c:showCatName val="0"/>
          <c:showSerName val="0"/>
          <c:showPercent val="0"/>
          <c:showBubbleSize val="0"/>
        </c:dLbls>
        <c:axId val="929981376"/>
        <c:axId val="929980656"/>
      </c:scatterChart>
      <c:valAx>
        <c:axId val="929981376"/>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0656"/>
        <c:crosses val="autoZero"/>
        <c:crossBetween val="midCat"/>
      </c:valAx>
      <c:valAx>
        <c:axId val="929980656"/>
        <c:scaling>
          <c:orientation val="minMax"/>
          <c:max val="1"/>
          <c:min val="0.86000000000000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1376"/>
        <c:crosses val="autoZero"/>
        <c:crossBetween val="midCat"/>
      </c:valAx>
      <c:spPr>
        <a:noFill/>
        <a:ln>
          <a:noFill/>
        </a:ln>
        <a:effectLst/>
      </c:spPr>
    </c:plotArea>
    <c:legend>
      <c:legendPos val="b"/>
      <c:overlay val="0"/>
      <c:spPr>
        <a:noFill/>
        <a:ln>
          <a:solidFill>
            <a:schemeClr val="accent2">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40F and various pressures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 B'!$D$253</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 B'!$C$254:$C$258</c:f>
              <c:numCache>
                <c:formatCode>General</c:formatCode>
                <c:ptCount val="5"/>
                <c:pt idx="0">
                  <c:v>1000</c:v>
                </c:pt>
                <c:pt idx="1">
                  <c:v>800</c:v>
                </c:pt>
                <c:pt idx="2">
                  <c:v>600</c:v>
                </c:pt>
                <c:pt idx="3">
                  <c:v>400</c:v>
                </c:pt>
                <c:pt idx="4" formatCode="0">
                  <c:v>200</c:v>
                </c:pt>
              </c:numCache>
            </c:numRef>
          </c:xVal>
          <c:yVal>
            <c:numRef>
              <c:f>'Flash B'!$D$254:$D$258</c:f>
              <c:numCache>
                <c:formatCode>General</c:formatCode>
                <c:ptCount val="5"/>
                <c:pt idx="0">
                  <c:v>0.96599999999999997</c:v>
                </c:pt>
                <c:pt idx="1">
                  <c:v>0.97</c:v>
                </c:pt>
                <c:pt idx="2">
                  <c:v>0.97899999999999998</c:v>
                </c:pt>
                <c:pt idx="3">
                  <c:v>0.98899999999999999</c:v>
                </c:pt>
                <c:pt idx="4" formatCode="0.00000">
                  <c:v>0.998</c:v>
                </c:pt>
              </c:numCache>
            </c:numRef>
          </c:yVal>
          <c:smooth val="1"/>
          <c:extLst>
            <c:ext xmlns:c16="http://schemas.microsoft.com/office/drawing/2014/chart" uri="{C3380CC4-5D6E-409C-BE32-E72D297353CC}">
              <c16:uniqueId val="{00000000-DEC2-4699-B6DF-CF28FBD4E1AA}"/>
            </c:ext>
          </c:extLst>
        </c:ser>
        <c:ser>
          <c:idx val="1"/>
          <c:order val="1"/>
          <c:tx>
            <c:strRef>
              <c:f>'Flash B'!$E$253</c:f>
              <c:strCache>
                <c:ptCount val="1"/>
                <c:pt idx="0">
                  <c:v>Standing</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'Flash B'!$C$254:$C$258</c:f>
              <c:numCache>
                <c:formatCode>General</c:formatCode>
                <c:ptCount val="5"/>
                <c:pt idx="0">
                  <c:v>1000</c:v>
                </c:pt>
                <c:pt idx="1">
                  <c:v>800</c:v>
                </c:pt>
                <c:pt idx="2">
                  <c:v>600</c:v>
                </c:pt>
                <c:pt idx="3">
                  <c:v>400</c:v>
                </c:pt>
                <c:pt idx="4" formatCode="0">
                  <c:v>200</c:v>
                </c:pt>
              </c:numCache>
            </c:numRef>
          </c:xVal>
          <c:yVal>
            <c:numRef>
              <c:f>'Flash B'!$E$254:$E$258</c:f>
              <c:numCache>
                <c:formatCode>General</c:formatCode>
                <c:ptCount val="5"/>
                <c:pt idx="0">
                  <c:v>0.96789999999999998</c:v>
                </c:pt>
                <c:pt idx="1">
                  <c:v>0.96950000000000003</c:v>
                </c:pt>
                <c:pt idx="2">
                  <c:v>0.97719999999999996</c:v>
                </c:pt>
                <c:pt idx="3">
                  <c:v>0.98929999999999996</c:v>
                </c:pt>
                <c:pt idx="4" formatCode="0.00000">
                  <c:v>1</c:v>
                </c:pt>
              </c:numCache>
            </c:numRef>
          </c:yVal>
          <c:smooth val="1"/>
          <c:extLst>
            <c:ext xmlns:c16="http://schemas.microsoft.com/office/drawing/2014/chart" uri="{C3380CC4-5D6E-409C-BE32-E72D297353CC}">
              <c16:uniqueId val="{00000001-DEC2-4699-B6DF-CF28FBD4E1AA}"/>
            </c:ext>
          </c:extLst>
        </c:ser>
        <c:ser>
          <c:idx val="2"/>
          <c:order val="2"/>
          <c:tx>
            <c:strRef>
              <c:f>'Flash B'!$F$253</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 B'!$C$254:$C$258</c:f>
              <c:numCache>
                <c:formatCode>General</c:formatCode>
                <c:ptCount val="5"/>
                <c:pt idx="0">
                  <c:v>1000</c:v>
                </c:pt>
                <c:pt idx="1">
                  <c:v>800</c:v>
                </c:pt>
                <c:pt idx="2">
                  <c:v>600</c:v>
                </c:pt>
                <c:pt idx="3">
                  <c:v>400</c:v>
                </c:pt>
                <c:pt idx="4" formatCode="0">
                  <c:v>200</c:v>
                </c:pt>
              </c:numCache>
            </c:numRef>
          </c:xVal>
          <c:yVal>
            <c:numRef>
              <c:f>'Flash B'!$F$254:$F$258</c:f>
              <c:numCache>
                <c:formatCode>General</c:formatCode>
                <c:ptCount val="5"/>
                <c:pt idx="0">
                  <c:v>0.86890000000000001</c:v>
                </c:pt>
                <c:pt idx="1">
                  <c:v>0.90649999999999997</c:v>
                </c:pt>
                <c:pt idx="2">
                  <c:v>0.94079999999999997</c:v>
                </c:pt>
                <c:pt idx="3">
                  <c:v>0.97140000000000004</c:v>
                </c:pt>
                <c:pt idx="4">
                  <c:v>0.99509999999999998</c:v>
                </c:pt>
              </c:numCache>
            </c:numRef>
          </c:yVal>
          <c:smooth val="1"/>
          <c:extLst>
            <c:ext xmlns:c16="http://schemas.microsoft.com/office/drawing/2014/chart" uri="{C3380CC4-5D6E-409C-BE32-E72D297353CC}">
              <c16:uniqueId val="{00000002-DEC2-4699-B6DF-CF28FBD4E1AA}"/>
            </c:ext>
          </c:extLst>
        </c:ser>
        <c:dLbls>
          <c:showLegendKey val="0"/>
          <c:showVal val="0"/>
          <c:showCatName val="0"/>
          <c:showSerName val="0"/>
          <c:showPercent val="0"/>
          <c:showBubbleSize val="0"/>
        </c:dLbls>
        <c:axId val="717471728"/>
        <c:axId val="717472088"/>
      </c:scatterChart>
      <c:valAx>
        <c:axId val="717471728"/>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2088"/>
        <c:crosses val="autoZero"/>
        <c:crossBetween val="midCat"/>
      </c:valAx>
      <c:valAx>
        <c:axId val="7174720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717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V/F at 80F at various</a:t>
            </a:r>
            <a:r>
              <a:rPr lang="en-US" baseline="0"/>
              <a:t> pressures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'Flash B'!$D$270</c:f>
              <c:strCache>
                <c:ptCount val="1"/>
                <c:pt idx="0">
                  <c:v>PengRobinson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'Flash B'!$C$271:$C$275</c:f>
              <c:numCache>
                <c:formatCode>General</c:formatCode>
                <c:ptCount val="5"/>
                <c:pt idx="0">
                  <c:v>1000</c:v>
                </c:pt>
                <c:pt idx="1">
                  <c:v>800</c:v>
                </c:pt>
                <c:pt idx="2">
                  <c:v>600</c:v>
                </c:pt>
                <c:pt idx="3">
                  <c:v>400</c:v>
                </c:pt>
                <c:pt idx="4" formatCode="0">
                  <c:v>200</c:v>
                </c:pt>
              </c:numCache>
            </c:numRef>
          </c:xVal>
          <c:yVal>
            <c:numRef>
              <c:f>'Flash B'!$D$271:$D$275</c:f>
              <c:numCache>
                <c:formatCode>General</c:formatCode>
                <c:ptCount val="5"/>
                <c:pt idx="0">
                  <c:v>1</c:v>
                </c:pt>
                <c:pt idx="1">
                  <c:v>1</c:v>
                </c:pt>
                <c:pt idx="2">
                  <c:v>1</c:v>
                </c:pt>
                <c:pt idx="3">
                  <c:v>1</c:v>
                </c:pt>
                <c:pt idx="4" formatCode="0.00000">
                  <c:v>1</c:v>
                </c:pt>
              </c:numCache>
            </c:numRef>
          </c:yVal>
          <c:smooth val="1"/>
          <c:extLst>
            <c:ext xmlns:c16="http://schemas.microsoft.com/office/drawing/2014/chart" uri="{C3380CC4-5D6E-409C-BE32-E72D297353CC}">
              <c16:uniqueId val="{00000000-2003-4334-8094-3A8D874BB805}"/>
            </c:ext>
          </c:extLst>
        </c:ser>
        <c:ser>
          <c:idx val="1"/>
          <c:order val="1"/>
          <c:tx>
            <c:strRef>
              <c:f>'Flash B'!$E$270</c:f>
              <c:strCache>
                <c:ptCount val="1"/>
                <c:pt idx="0">
                  <c:v>Standing</c:v>
                </c:pt>
              </c:strCache>
            </c:strRef>
          </c:tx>
          <c:spPr>
            <a:ln w="19050" cap="sq">
              <a:solidFill>
                <a:schemeClr val="accent2">
                  <a:lumMod val="40000"/>
                  <a:lumOff val="60000"/>
                </a:schemeClr>
              </a:solidFill>
              <a:prstDash val="sysDash"/>
              <a:round/>
            </a:ln>
            <a:effectLst/>
          </c:spPr>
          <c:marker>
            <c:symbol val="circle"/>
            <c:size val="5"/>
            <c:spPr>
              <a:solidFill>
                <a:schemeClr val="accent2"/>
              </a:solidFill>
              <a:ln w="9525">
                <a:solidFill>
                  <a:schemeClr val="accent4">
                    <a:lumMod val="40000"/>
                    <a:lumOff val="60000"/>
                  </a:schemeClr>
                </a:solidFill>
              </a:ln>
              <a:effectLst/>
            </c:spPr>
          </c:marker>
          <c:xVal>
            <c:numRef>
              <c:f>'Flash B'!$C$271:$C$275</c:f>
              <c:numCache>
                <c:formatCode>General</c:formatCode>
                <c:ptCount val="5"/>
                <c:pt idx="0">
                  <c:v>1000</c:v>
                </c:pt>
                <c:pt idx="1">
                  <c:v>800</c:v>
                </c:pt>
                <c:pt idx="2">
                  <c:v>600</c:v>
                </c:pt>
                <c:pt idx="3">
                  <c:v>400</c:v>
                </c:pt>
                <c:pt idx="4" formatCode="0">
                  <c:v>200</c:v>
                </c:pt>
              </c:numCache>
            </c:numRef>
          </c:xVal>
          <c:yVal>
            <c:numRef>
              <c:f>'Flash B'!$E$271:$E$275</c:f>
              <c:numCache>
                <c:formatCode>General</c:formatCode>
                <c:ptCount val="5"/>
                <c:pt idx="0">
                  <c:v>0.99929999999999997</c:v>
                </c:pt>
                <c:pt idx="1">
                  <c:v>0.99890000000000001</c:v>
                </c:pt>
                <c:pt idx="2">
                  <c:v>1</c:v>
                </c:pt>
                <c:pt idx="3">
                  <c:v>1</c:v>
                </c:pt>
                <c:pt idx="4" formatCode="0.00000">
                  <c:v>1</c:v>
                </c:pt>
              </c:numCache>
            </c:numRef>
          </c:yVal>
          <c:smooth val="1"/>
          <c:extLst>
            <c:ext xmlns:c16="http://schemas.microsoft.com/office/drawing/2014/chart" uri="{C3380CC4-5D6E-409C-BE32-E72D297353CC}">
              <c16:uniqueId val="{00000001-2003-4334-8094-3A8D874BB805}"/>
            </c:ext>
          </c:extLst>
        </c:ser>
        <c:ser>
          <c:idx val="2"/>
          <c:order val="2"/>
          <c:tx>
            <c:strRef>
              <c:f>'Flash B'!$F$270</c:f>
              <c:strCache>
                <c:ptCount val="1"/>
                <c:pt idx="0">
                  <c:v>Wilson</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'Flash B'!$C$271:$C$275</c:f>
              <c:numCache>
                <c:formatCode>General</c:formatCode>
                <c:ptCount val="5"/>
                <c:pt idx="0">
                  <c:v>1000</c:v>
                </c:pt>
                <c:pt idx="1">
                  <c:v>800</c:v>
                </c:pt>
                <c:pt idx="2">
                  <c:v>600</c:v>
                </c:pt>
                <c:pt idx="3">
                  <c:v>400</c:v>
                </c:pt>
                <c:pt idx="4" formatCode="0">
                  <c:v>200</c:v>
                </c:pt>
              </c:numCache>
            </c:numRef>
          </c:xVal>
          <c:yVal>
            <c:numRef>
              <c:f>'Flash B'!$F$271:$F$275</c:f>
              <c:numCache>
                <c:formatCode>General</c:formatCode>
                <c:ptCount val="5"/>
                <c:pt idx="0">
                  <c:v>0.94140000000000001</c:v>
                </c:pt>
                <c:pt idx="1">
                  <c:v>0.96340000000000003</c:v>
                </c:pt>
                <c:pt idx="2">
                  <c:v>0.98199999999999998</c:v>
                </c:pt>
                <c:pt idx="3">
                  <c:v>0.99570000000000003</c:v>
                </c:pt>
                <c:pt idx="4">
                  <c:v>0.99970000000000003</c:v>
                </c:pt>
              </c:numCache>
            </c:numRef>
          </c:yVal>
          <c:smooth val="1"/>
          <c:extLst>
            <c:ext xmlns:c16="http://schemas.microsoft.com/office/drawing/2014/chart" uri="{C3380CC4-5D6E-409C-BE32-E72D297353CC}">
              <c16:uniqueId val="{00000002-2003-4334-8094-3A8D874BB805}"/>
            </c:ext>
          </c:extLst>
        </c:ser>
        <c:dLbls>
          <c:showLegendKey val="0"/>
          <c:showVal val="0"/>
          <c:showCatName val="0"/>
          <c:showSerName val="0"/>
          <c:showPercent val="0"/>
          <c:showBubbleSize val="0"/>
        </c:dLbls>
        <c:axId val="929981376"/>
        <c:axId val="929980656"/>
      </c:scatterChart>
      <c:valAx>
        <c:axId val="929981376"/>
        <c:scaling>
          <c:orientation val="minMax"/>
          <c:max val="1000"/>
          <c:min val="2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0656"/>
        <c:crosses val="autoZero"/>
        <c:crossBetween val="midCat"/>
      </c:valAx>
      <c:valAx>
        <c:axId val="929980656"/>
        <c:scaling>
          <c:orientation val="minMax"/>
          <c:max val="1"/>
          <c:min val="0.860000000000000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981376"/>
        <c:crosses val="autoZero"/>
        <c:crossBetween val="midCat"/>
      </c:valAx>
      <c:spPr>
        <a:noFill/>
        <a:ln>
          <a:noFill/>
        </a:ln>
        <a:effectLst/>
      </c:spPr>
    </c:plotArea>
    <c:legend>
      <c:legendPos val="b"/>
      <c:overlay val="0"/>
      <c:spPr>
        <a:noFill/>
        <a:ln>
          <a:solidFill>
            <a:schemeClr val="accent2">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76317714384062"/>
          <c:y val="2.8252405949256341E-2"/>
          <c:w val="0.772127533238673"/>
          <c:h val="0.68921660834062404"/>
        </c:manualLayout>
      </c:layout>
      <c:scatterChart>
        <c:scatterStyle val="lineMarker"/>
        <c:varyColors val="0"/>
        <c:ser>
          <c:idx val="0"/>
          <c:order val="0"/>
          <c:tx>
            <c:v>Pressure</c:v>
          </c:tx>
          <c:spPr>
            <a:ln w="28575">
              <a:noFill/>
            </a:ln>
          </c:spPr>
          <c:xVal>
            <c:numLit>
              <c:formatCode>General</c:formatCode>
              <c:ptCount val="19"/>
              <c:pt idx="0">
                <c:v>10</c:v>
              </c:pt>
              <c:pt idx="1">
                <c:v>12</c:v>
              </c:pt>
              <c:pt idx="2">
                <c:v>15</c:v>
              </c:pt>
              <c:pt idx="3">
                <c:v>18</c:v>
              </c:pt>
              <c:pt idx="4">
                <c:v>20</c:v>
              </c:pt>
              <c:pt idx="5">
                <c:v>22</c:v>
              </c:pt>
              <c:pt idx="6">
                <c:v>26</c:v>
              </c:pt>
              <c:pt idx="7">
                <c:v>27.5</c:v>
              </c:pt>
              <c:pt idx="8">
                <c:v>28.2</c:v>
              </c:pt>
              <c:pt idx="9">
                <c:v>28.5</c:v>
              </c:pt>
              <c:pt idx="10">
                <c:v>27.5</c:v>
              </c:pt>
              <c:pt idx="11">
                <c:v>26.5</c:v>
              </c:pt>
              <c:pt idx="12">
                <c:v>24.5</c:v>
              </c:pt>
              <c:pt idx="13">
                <c:v>22.5</c:v>
              </c:pt>
              <c:pt idx="14">
                <c:v>21</c:v>
              </c:pt>
              <c:pt idx="15">
                <c:v>18.5</c:v>
              </c:pt>
              <c:pt idx="16">
                <c:v>16.5</c:v>
              </c:pt>
              <c:pt idx="17">
                <c:v>13</c:v>
              </c:pt>
              <c:pt idx="18">
                <c:v>10</c:v>
              </c:pt>
            </c:numLit>
          </c:xVal>
          <c:yVal>
            <c:numLit>
              <c:formatCode>General</c:formatCode>
              <c:ptCount val="19"/>
              <c:pt idx="0">
                <c:v>100</c:v>
              </c:pt>
              <c:pt idx="1">
                <c:v>110</c:v>
              </c:pt>
              <c:pt idx="2">
                <c:v>140</c:v>
              </c:pt>
              <c:pt idx="3">
                <c:v>180</c:v>
              </c:pt>
              <c:pt idx="4">
                <c:v>200</c:v>
              </c:pt>
              <c:pt idx="5">
                <c:v>225</c:v>
              </c:pt>
              <c:pt idx="6">
                <c:v>280</c:v>
              </c:pt>
              <c:pt idx="7">
                <c:v>330</c:v>
              </c:pt>
              <c:pt idx="8">
                <c:v>390</c:v>
              </c:pt>
              <c:pt idx="9">
                <c:v>440</c:v>
              </c:pt>
              <c:pt idx="10">
                <c:v>500</c:v>
              </c:pt>
              <c:pt idx="11">
                <c:v>550</c:v>
              </c:pt>
              <c:pt idx="12">
                <c:v>610</c:v>
              </c:pt>
              <c:pt idx="13">
                <c:v>670</c:v>
              </c:pt>
              <c:pt idx="14">
                <c:v>720</c:v>
              </c:pt>
              <c:pt idx="15">
                <c:v>780</c:v>
              </c:pt>
              <c:pt idx="16">
                <c:v>830</c:v>
              </c:pt>
              <c:pt idx="17">
                <c:v>890</c:v>
              </c:pt>
              <c:pt idx="18">
                <c:v>930</c:v>
              </c:pt>
            </c:numLit>
          </c:yVal>
          <c:smooth val="0"/>
          <c:extLst>
            <c:ext xmlns:c16="http://schemas.microsoft.com/office/drawing/2014/chart" uri="{C3380CC4-5D6E-409C-BE32-E72D297353CC}">
              <c16:uniqueId val="{00000000-7866-413D-9310-FB1A3B4FCF23}"/>
            </c:ext>
          </c:extLst>
        </c:ser>
        <c:dLbls>
          <c:showLegendKey val="0"/>
          <c:showVal val="0"/>
          <c:showCatName val="0"/>
          <c:showSerName val="0"/>
          <c:showPercent val="0"/>
          <c:showBubbleSize val="0"/>
        </c:dLbls>
        <c:axId val="360064896"/>
        <c:axId val="360066432"/>
      </c:scatterChart>
      <c:valAx>
        <c:axId val="360064896"/>
        <c:scaling>
          <c:orientation val="minMax"/>
          <c:max val="60"/>
        </c:scaling>
        <c:delete val="0"/>
        <c:axPos val="b"/>
        <c:numFmt formatCode="General" sourceLinked="1"/>
        <c:majorTickMark val="out"/>
        <c:minorTickMark val="none"/>
        <c:tickLblPos val="nextTo"/>
        <c:crossAx val="360066432"/>
        <c:crosses val="autoZero"/>
        <c:crossBetween val="midCat"/>
      </c:valAx>
      <c:valAx>
        <c:axId val="360066432"/>
        <c:scaling>
          <c:orientation val="minMax"/>
        </c:scaling>
        <c:delete val="0"/>
        <c:axPos val="l"/>
        <c:majorGridlines/>
        <c:numFmt formatCode="General" sourceLinked="1"/>
        <c:majorTickMark val="out"/>
        <c:minorTickMark val="none"/>
        <c:tickLblPos val="nextTo"/>
        <c:crossAx val="36006489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1496062992127"/>
          <c:y val="0.11423444597135712"/>
          <c:w val="0.86227537182852143"/>
          <c:h val="0.72753241249576939"/>
        </c:manualLayout>
      </c:layout>
      <c:scatterChart>
        <c:scatterStyle val="lineMarker"/>
        <c:varyColors val="0"/>
        <c:ser>
          <c:idx val="0"/>
          <c:order val="0"/>
          <c:tx>
            <c:v>C6 - C9</c:v>
          </c:tx>
          <c:spPr>
            <a:ln w="28575">
              <a:noFill/>
            </a:ln>
          </c:spPr>
          <c:xVal>
            <c:numLit>
              <c:formatCode>General</c:formatCode>
              <c:ptCount val="14"/>
              <c:pt idx="0">
                <c:v>-50</c:v>
              </c:pt>
              <c:pt idx="1">
                <c:v>-40</c:v>
              </c:pt>
              <c:pt idx="2">
                <c:v>-40</c:v>
              </c:pt>
              <c:pt idx="3">
                <c:v>-30</c:v>
              </c:pt>
              <c:pt idx="4">
                <c:v>-20</c:v>
              </c:pt>
              <c:pt idx="5">
                <c:v>-10</c:v>
              </c:pt>
              <c:pt idx="6">
                <c:v>0</c:v>
              </c:pt>
              <c:pt idx="7">
                <c:v>10</c:v>
              </c:pt>
              <c:pt idx="8">
                <c:v>20</c:v>
              </c:pt>
              <c:pt idx="9">
                <c:v>30</c:v>
              </c:pt>
              <c:pt idx="10">
                <c:v>40</c:v>
              </c:pt>
              <c:pt idx="11">
                <c:v>50</c:v>
              </c:pt>
              <c:pt idx="12">
                <c:v>60</c:v>
              </c:pt>
              <c:pt idx="13">
                <c:v>70</c:v>
              </c:pt>
            </c:numLit>
          </c:xVal>
          <c:yVal>
            <c:numLit>
              <c:formatCode>General</c:formatCode>
              <c:ptCount val="14"/>
              <c:pt idx="0">
                <c:v>1E-4</c:v>
              </c:pt>
              <c:pt idx="1">
                <c:v>3.0000000000000001E-3</c:v>
              </c:pt>
              <c:pt idx="2">
                <c:v>3.0000000000000001E-3</c:v>
              </c:pt>
              <c:pt idx="3">
                <c:v>5.0000000000000001E-3</c:v>
              </c:pt>
              <c:pt idx="4">
                <c:v>0.01</c:v>
              </c:pt>
              <c:pt idx="5">
                <c:v>1.6E-2</c:v>
              </c:pt>
              <c:pt idx="6">
                <c:v>0.02</c:v>
              </c:pt>
              <c:pt idx="7">
                <c:v>0.03</c:v>
              </c:pt>
              <c:pt idx="8">
                <c:v>3.6999999999999998E-2</c:v>
              </c:pt>
              <c:pt idx="9">
                <c:v>0.05</c:v>
              </c:pt>
              <c:pt idx="10">
                <c:v>6.5000000000000002E-2</c:v>
              </c:pt>
              <c:pt idx="11">
                <c:v>0.09</c:v>
              </c:pt>
              <c:pt idx="12">
                <c:v>0.125</c:v>
              </c:pt>
              <c:pt idx="13">
                <c:v>0.16</c:v>
              </c:pt>
            </c:numLit>
          </c:yVal>
          <c:smooth val="0"/>
          <c:extLst>
            <c:ext xmlns:c16="http://schemas.microsoft.com/office/drawing/2014/chart" uri="{C3380CC4-5D6E-409C-BE32-E72D297353CC}">
              <c16:uniqueId val="{00000000-AE32-4AA9-9533-6C4C179C6562}"/>
            </c:ext>
          </c:extLst>
        </c:ser>
        <c:dLbls>
          <c:showLegendKey val="0"/>
          <c:showVal val="0"/>
          <c:showCatName val="0"/>
          <c:showSerName val="0"/>
          <c:showPercent val="0"/>
          <c:showBubbleSize val="0"/>
        </c:dLbls>
        <c:axId val="360082048"/>
        <c:axId val="360112512"/>
      </c:scatterChart>
      <c:valAx>
        <c:axId val="360082048"/>
        <c:scaling>
          <c:orientation val="minMax"/>
          <c:max val="70"/>
          <c:min val="-70"/>
        </c:scaling>
        <c:delete val="0"/>
        <c:axPos val="b"/>
        <c:title>
          <c:tx>
            <c:rich>
              <a:bodyPr/>
              <a:lstStyle/>
              <a:p>
                <a:pPr>
                  <a:defRPr/>
                </a:pPr>
                <a:r>
                  <a:rPr lang="en-US" sz="1200"/>
                  <a:t>CHDP,</a:t>
                </a:r>
                <a:r>
                  <a:rPr lang="en-US" sz="1200" baseline="0"/>
                  <a:t> F</a:t>
                </a:r>
                <a:endParaRPr lang="en-US" sz="1200"/>
              </a:p>
            </c:rich>
          </c:tx>
          <c:overlay val="0"/>
        </c:title>
        <c:numFmt formatCode="General" sourceLinked="1"/>
        <c:majorTickMark val="out"/>
        <c:minorTickMark val="none"/>
        <c:tickLblPos val="nextTo"/>
        <c:crossAx val="360112512"/>
        <c:crosses val="autoZero"/>
        <c:crossBetween val="midCat"/>
      </c:valAx>
      <c:valAx>
        <c:axId val="360112512"/>
        <c:scaling>
          <c:orientation val="minMax"/>
          <c:max val="0.18000000000000002"/>
        </c:scaling>
        <c:delete val="0"/>
        <c:axPos val="l"/>
        <c:majorGridlines/>
        <c:numFmt formatCode="General" sourceLinked="1"/>
        <c:majorTickMark val="out"/>
        <c:minorTickMark val="none"/>
        <c:tickLblPos val="nextTo"/>
        <c:crossAx val="360082048"/>
        <c:crossesAt val="-70"/>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76317714384062"/>
          <c:y val="2.8252405949256341E-2"/>
          <c:w val="0.772127533238673"/>
          <c:h val="0.68921660834062404"/>
        </c:manualLayout>
      </c:layout>
      <c:scatterChart>
        <c:scatterStyle val="lineMarker"/>
        <c:varyColors val="0"/>
        <c:ser>
          <c:idx val="0"/>
          <c:order val="0"/>
          <c:tx>
            <c:v>Pressure</c:v>
          </c:tx>
          <c:spPr>
            <a:ln w="28575">
              <a:noFill/>
            </a:ln>
          </c:spPr>
          <c:xVal>
            <c:numLit>
              <c:formatCode>General</c:formatCode>
              <c:ptCount val="19"/>
              <c:pt idx="0">
                <c:v>10</c:v>
              </c:pt>
              <c:pt idx="1">
                <c:v>12</c:v>
              </c:pt>
              <c:pt idx="2">
                <c:v>15</c:v>
              </c:pt>
              <c:pt idx="3">
                <c:v>18</c:v>
              </c:pt>
              <c:pt idx="4">
                <c:v>20</c:v>
              </c:pt>
              <c:pt idx="5">
                <c:v>22</c:v>
              </c:pt>
              <c:pt idx="6">
                <c:v>26</c:v>
              </c:pt>
              <c:pt idx="7">
                <c:v>27.5</c:v>
              </c:pt>
              <c:pt idx="8">
                <c:v>28.2</c:v>
              </c:pt>
              <c:pt idx="9">
                <c:v>28.5</c:v>
              </c:pt>
              <c:pt idx="10">
                <c:v>27.5</c:v>
              </c:pt>
              <c:pt idx="11">
                <c:v>26.5</c:v>
              </c:pt>
              <c:pt idx="12">
                <c:v>24.5</c:v>
              </c:pt>
              <c:pt idx="13">
                <c:v>22.5</c:v>
              </c:pt>
              <c:pt idx="14">
                <c:v>21</c:v>
              </c:pt>
              <c:pt idx="15">
                <c:v>18.5</c:v>
              </c:pt>
              <c:pt idx="16">
                <c:v>16.5</c:v>
              </c:pt>
              <c:pt idx="17">
                <c:v>13</c:v>
              </c:pt>
              <c:pt idx="18">
                <c:v>10</c:v>
              </c:pt>
            </c:numLit>
          </c:xVal>
          <c:yVal>
            <c:numLit>
              <c:formatCode>General</c:formatCode>
              <c:ptCount val="19"/>
              <c:pt idx="0">
                <c:v>100</c:v>
              </c:pt>
              <c:pt idx="1">
                <c:v>110</c:v>
              </c:pt>
              <c:pt idx="2">
                <c:v>140</c:v>
              </c:pt>
              <c:pt idx="3">
                <c:v>180</c:v>
              </c:pt>
              <c:pt idx="4">
                <c:v>200</c:v>
              </c:pt>
              <c:pt idx="5">
                <c:v>225</c:v>
              </c:pt>
              <c:pt idx="6">
                <c:v>280</c:v>
              </c:pt>
              <c:pt idx="7">
                <c:v>330</c:v>
              </c:pt>
              <c:pt idx="8">
                <c:v>390</c:v>
              </c:pt>
              <c:pt idx="9">
                <c:v>440</c:v>
              </c:pt>
              <c:pt idx="10">
                <c:v>500</c:v>
              </c:pt>
              <c:pt idx="11">
                <c:v>550</c:v>
              </c:pt>
              <c:pt idx="12">
                <c:v>610</c:v>
              </c:pt>
              <c:pt idx="13">
                <c:v>670</c:v>
              </c:pt>
              <c:pt idx="14">
                <c:v>720</c:v>
              </c:pt>
              <c:pt idx="15">
                <c:v>780</c:v>
              </c:pt>
              <c:pt idx="16">
                <c:v>830</c:v>
              </c:pt>
              <c:pt idx="17">
                <c:v>890</c:v>
              </c:pt>
              <c:pt idx="18">
                <c:v>930</c:v>
              </c:pt>
            </c:numLit>
          </c:yVal>
          <c:smooth val="0"/>
          <c:extLst>
            <c:ext xmlns:c16="http://schemas.microsoft.com/office/drawing/2014/chart" uri="{C3380CC4-5D6E-409C-BE32-E72D297353CC}">
              <c16:uniqueId val="{00000000-0BB2-49DA-9187-BEA302C414AE}"/>
            </c:ext>
          </c:extLst>
        </c:ser>
        <c:dLbls>
          <c:showLegendKey val="0"/>
          <c:showVal val="0"/>
          <c:showCatName val="0"/>
          <c:showSerName val="0"/>
          <c:showPercent val="0"/>
          <c:showBubbleSize val="0"/>
        </c:dLbls>
        <c:axId val="360064896"/>
        <c:axId val="360066432"/>
      </c:scatterChart>
      <c:valAx>
        <c:axId val="360064896"/>
        <c:scaling>
          <c:orientation val="minMax"/>
          <c:max val="60"/>
        </c:scaling>
        <c:delete val="0"/>
        <c:axPos val="b"/>
        <c:numFmt formatCode="General" sourceLinked="1"/>
        <c:majorTickMark val="out"/>
        <c:minorTickMark val="none"/>
        <c:tickLblPos val="nextTo"/>
        <c:crossAx val="360066432"/>
        <c:crosses val="autoZero"/>
        <c:crossBetween val="midCat"/>
      </c:valAx>
      <c:valAx>
        <c:axId val="360066432"/>
        <c:scaling>
          <c:orientation val="minMax"/>
        </c:scaling>
        <c:delete val="0"/>
        <c:axPos val="l"/>
        <c:majorGridlines/>
        <c:numFmt formatCode="General" sourceLinked="1"/>
        <c:majorTickMark val="out"/>
        <c:minorTickMark val="none"/>
        <c:tickLblPos val="nextTo"/>
        <c:crossAx val="36006489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1496062992127"/>
          <c:y val="0.11423444597135712"/>
          <c:w val="0.86227537182852143"/>
          <c:h val="0.72753241249576939"/>
        </c:manualLayout>
      </c:layout>
      <c:scatterChart>
        <c:scatterStyle val="lineMarker"/>
        <c:varyColors val="0"/>
        <c:ser>
          <c:idx val="0"/>
          <c:order val="0"/>
          <c:tx>
            <c:v>C6 - C9</c:v>
          </c:tx>
          <c:spPr>
            <a:ln w="28575">
              <a:noFill/>
            </a:ln>
          </c:spPr>
          <c:xVal>
            <c:numLit>
              <c:formatCode>General</c:formatCode>
              <c:ptCount val="14"/>
              <c:pt idx="0">
                <c:v>-50</c:v>
              </c:pt>
              <c:pt idx="1">
                <c:v>-40</c:v>
              </c:pt>
              <c:pt idx="2">
                <c:v>-40</c:v>
              </c:pt>
              <c:pt idx="3">
                <c:v>-30</c:v>
              </c:pt>
              <c:pt idx="4">
                <c:v>-20</c:v>
              </c:pt>
              <c:pt idx="5">
                <c:v>-10</c:v>
              </c:pt>
              <c:pt idx="6">
                <c:v>0</c:v>
              </c:pt>
              <c:pt idx="7">
                <c:v>10</c:v>
              </c:pt>
              <c:pt idx="8">
                <c:v>20</c:v>
              </c:pt>
              <c:pt idx="9">
                <c:v>30</c:v>
              </c:pt>
              <c:pt idx="10">
                <c:v>40</c:v>
              </c:pt>
              <c:pt idx="11">
                <c:v>50</c:v>
              </c:pt>
              <c:pt idx="12">
                <c:v>60</c:v>
              </c:pt>
              <c:pt idx="13">
                <c:v>70</c:v>
              </c:pt>
            </c:numLit>
          </c:xVal>
          <c:yVal>
            <c:numLit>
              <c:formatCode>General</c:formatCode>
              <c:ptCount val="14"/>
              <c:pt idx="0">
                <c:v>1E-4</c:v>
              </c:pt>
              <c:pt idx="1">
                <c:v>3.0000000000000001E-3</c:v>
              </c:pt>
              <c:pt idx="2">
                <c:v>3.0000000000000001E-3</c:v>
              </c:pt>
              <c:pt idx="3">
                <c:v>5.0000000000000001E-3</c:v>
              </c:pt>
              <c:pt idx="4">
                <c:v>0.01</c:v>
              </c:pt>
              <c:pt idx="5">
                <c:v>1.6E-2</c:v>
              </c:pt>
              <c:pt idx="6">
                <c:v>0.02</c:v>
              </c:pt>
              <c:pt idx="7">
                <c:v>0.03</c:v>
              </c:pt>
              <c:pt idx="8">
                <c:v>3.6999999999999998E-2</c:v>
              </c:pt>
              <c:pt idx="9">
                <c:v>0.05</c:v>
              </c:pt>
              <c:pt idx="10">
                <c:v>6.5000000000000002E-2</c:v>
              </c:pt>
              <c:pt idx="11">
                <c:v>0.09</c:v>
              </c:pt>
              <c:pt idx="12">
                <c:v>0.125</c:v>
              </c:pt>
              <c:pt idx="13">
                <c:v>0.16</c:v>
              </c:pt>
            </c:numLit>
          </c:yVal>
          <c:smooth val="0"/>
          <c:extLst>
            <c:ext xmlns:c16="http://schemas.microsoft.com/office/drawing/2014/chart" uri="{C3380CC4-5D6E-409C-BE32-E72D297353CC}">
              <c16:uniqueId val="{00000000-31A8-4C4A-958A-EDAD6EC930B0}"/>
            </c:ext>
          </c:extLst>
        </c:ser>
        <c:dLbls>
          <c:showLegendKey val="0"/>
          <c:showVal val="0"/>
          <c:showCatName val="0"/>
          <c:showSerName val="0"/>
          <c:showPercent val="0"/>
          <c:showBubbleSize val="0"/>
        </c:dLbls>
        <c:axId val="360082048"/>
        <c:axId val="360112512"/>
      </c:scatterChart>
      <c:valAx>
        <c:axId val="360082048"/>
        <c:scaling>
          <c:orientation val="minMax"/>
          <c:max val="70"/>
          <c:min val="-70"/>
        </c:scaling>
        <c:delete val="0"/>
        <c:axPos val="b"/>
        <c:title>
          <c:tx>
            <c:rich>
              <a:bodyPr/>
              <a:lstStyle/>
              <a:p>
                <a:pPr>
                  <a:defRPr/>
                </a:pPr>
                <a:r>
                  <a:rPr lang="en-US" sz="1200"/>
                  <a:t>CHDP,</a:t>
                </a:r>
                <a:r>
                  <a:rPr lang="en-US" sz="1200" baseline="0"/>
                  <a:t> F</a:t>
                </a:r>
                <a:endParaRPr lang="en-US" sz="1200"/>
              </a:p>
            </c:rich>
          </c:tx>
          <c:overlay val="0"/>
        </c:title>
        <c:numFmt formatCode="General" sourceLinked="1"/>
        <c:majorTickMark val="out"/>
        <c:minorTickMark val="none"/>
        <c:tickLblPos val="nextTo"/>
        <c:crossAx val="360112512"/>
        <c:crosses val="autoZero"/>
        <c:crossBetween val="midCat"/>
      </c:valAx>
      <c:valAx>
        <c:axId val="360112512"/>
        <c:scaling>
          <c:orientation val="minMax"/>
          <c:max val="0.18000000000000002"/>
        </c:scaling>
        <c:delete val="0"/>
        <c:axPos val="l"/>
        <c:majorGridlines/>
        <c:numFmt formatCode="General" sourceLinked="1"/>
        <c:majorTickMark val="out"/>
        <c:minorTickMark val="none"/>
        <c:tickLblPos val="nextTo"/>
        <c:crossAx val="360082048"/>
        <c:crossesAt val="-70"/>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31005363460002"/>
          <c:y val="1.4081428227268693E-2"/>
          <c:w val="0.75332620459479605"/>
          <c:h val="0.84858770142246764"/>
        </c:manualLayout>
      </c:layout>
      <c:scatterChart>
        <c:scatterStyle val="lineMarker"/>
        <c:varyColors val="0"/>
        <c:ser>
          <c:idx val="0"/>
          <c:order val="0"/>
          <c:spPr>
            <a:ln w="28575">
              <a:noFill/>
            </a:ln>
          </c:spPr>
          <c:xVal>
            <c:numRef>
              <c:f>'Dropout Chart'!$C$90:$C$96</c:f>
              <c:numCache>
                <c:formatCode>General</c:formatCode>
                <c:ptCount val="7"/>
                <c:pt idx="0">
                  <c:v>0</c:v>
                </c:pt>
                <c:pt idx="1">
                  <c:v>3.4</c:v>
                </c:pt>
                <c:pt idx="2">
                  <c:v>4.5999999999999996</c:v>
                </c:pt>
                <c:pt idx="3">
                  <c:v>5.4</c:v>
                </c:pt>
                <c:pt idx="4">
                  <c:v>6.1</c:v>
                </c:pt>
                <c:pt idx="5">
                  <c:v>6.7</c:v>
                </c:pt>
                <c:pt idx="6">
                  <c:v>7.3</c:v>
                </c:pt>
              </c:numCache>
            </c:numRef>
          </c:xVal>
          <c:yVal>
            <c:numRef>
              <c:f>'Dropout Chart'!$D$90:$D$96</c:f>
              <c:numCache>
                <c:formatCode>General</c:formatCode>
                <c:ptCount val="7"/>
                <c:pt idx="0">
                  <c:v>0</c:v>
                </c:pt>
                <c:pt idx="1">
                  <c:v>1000</c:v>
                </c:pt>
                <c:pt idx="2">
                  <c:v>2000</c:v>
                </c:pt>
                <c:pt idx="3">
                  <c:v>3000</c:v>
                </c:pt>
                <c:pt idx="4">
                  <c:v>4000</c:v>
                </c:pt>
                <c:pt idx="5">
                  <c:v>5000</c:v>
                </c:pt>
                <c:pt idx="6">
                  <c:v>6000</c:v>
                </c:pt>
              </c:numCache>
            </c:numRef>
          </c:yVal>
          <c:smooth val="0"/>
          <c:extLst>
            <c:ext xmlns:c16="http://schemas.microsoft.com/office/drawing/2014/chart" uri="{C3380CC4-5D6E-409C-BE32-E72D297353CC}">
              <c16:uniqueId val="{00000000-B79A-4B41-9B46-36A965C802F8}"/>
            </c:ext>
          </c:extLst>
        </c:ser>
        <c:dLbls>
          <c:showLegendKey val="0"/>
          <c:showVal val="0"/>
          <c:showCatName val="0"/>
          <c:showSerName val="0"/>
          <c:showPercent val="0"/>
          <c:showBubbleSize val="0"/>
        </c:dLbls>
        <c:axId val="333188096"/>
        <c:axId val="333308672"/>
      </c:scatterChart>
      <c:valAx>
        <c:axId val="333188096"/>
        <c:scaling>
          <c:orientation val="minMax"/>
          <c:max val="9"/>
        </c:scaling>
        <c:delete val="0"/>
        <c:axPos val="b"/>
        <c:numFmt formatCode="General" sourceLinked="1"/>
        <c:majorTickMark val="out"/>
        <c:minorTickMark val="none"/>
        <c:tickLblPos val="nextTo"/>
        <c:crossAx val="333308672"/>
        <c:crosses val="autoZero"/>
        <c:crossBetween val="midCat"/>
      </c:valAx>
      <c:valAx>
        <c:axId val="333308672"/>
        <c:scaling>
          <c:orientation val="minMax"/>
        </c:scaling>
        <c:delete val="0"/>
        <c:axPos val="l"/>
        <c:majorGridlines/>
        <c:numFmt formatCode="General" sourceLinked="1"/>
        <c:majorTickMark val="out"/>
        <c:minorTickMark val="none"/>
        <c:tickLblPos val="nextTo"/>
        <c:crossAx val="333188096"/>
        <c:crosses val="autoZero"/>
        <c:crossBetween val="midCat"/>
      </c:valAx>
    </c:plotArea>
    <c:plotVisOnly val="1"/>
    <c:dispBlanksAs val="gap"/>
    <c:showDLblsOverMax val="0"/>
  </c:chart>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cid:907C1A2D-A466-4F59-9B96-D4FBD3F1D018" TargetMode="External"/><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5.jpeg"/><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8.xml"/><Relationship Id="rId1" Type="http://schemas.openxmlformats.org/officeDocument/2006/relationships/chart" Target="../charts/chart7.xml"/><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10</xdr:col>
      <xdr:colOff>457200</xdr:colOff>
      <xdr:row>9</xdr:row>
      <xdr:rowOff>12700</xdr:rowOff>
    </xdr:from>
    <xdr:to>
      <xdr:col>10</xdr:col>
      <xdr:colOff>897467</xdr:colOff>
      <xdr:row>12</xdr:row>
      <xdr:rowOff>0</xdr:rowOff>
    </xdr:to>
    <xdr:grpSp>
      <xdr:nvGrpSpPr>
        <xdr:cNvPr id="2" name="Group 326">
          <a:extLst>
            <a:ext uri="{FF2B5EF4-FFF2-40B4-BE49-F238E27FC236}">
              <a16:creationId xmlns:a16="http://schemas.microsoft.com/office/drawing/2014/main" id="{00000000-0008-0000-0100-000002000000}"/>
            </a:ext>
          </a:extLst>
        </xdr:cNvPr>
        <xdr:cNvGrpSpPr>
          <a:grpSpLocks/>
        </xdr:cNvGrpSpPr>
      </xdr:nvGrpSpPr>
      <xdr:grpSpPr bwMode="auto">
        <a:xfrm>
          <a:off x="7404847" y="1819649"/>
          <a:ext cx="297392" cy="575608"/>
          <a:chOff x="2255" y="45"/>
          <a:chExt cx="49" cy="180"/>
        </a:xfrm>
      </xdr:grpSpPr>
      <xdr:sp macro="" textlink="">
        <xdr:nvSpPr>
          <xdr:cNvPr id="3" name="Oval 327">
            <a:extLst>
              <a:ext uri="{FF2B5EF4-FFF2-40B4-BE49-F238E27FC236}">
                <a16:creationId xmlns:a16="http://schemas.microsoft.com/office/drawing/2014/main" id="{00000000-0008-0000-0100-000003000000}"/>
              </a:ext>
            </a:extLst>
          </xdr:cNvPr>
          <xdr:cNvSpPr>
            <a:spLocks noChangeArrowheads="1"/>
          </xdr:cNvSpPr>
        </xdr:nvSpPr>
        <xdr:spPr bwMode="auto">
          <a:xfrm>
            <a:off x="2263" y="45"/>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Rectangle 328">
            <a:extLst>
              <a:ext uri="{FF2B5EF4-FFF2-40B4-BE49-F238E27FC236}">
                <a16:creationId xmlns:a16="http://schemas.microsoft.com/office/drawing/2014/main" id="{00000000-0008-0000-0100-000004000000}"/>
              </a:ext>
            </a:extLst>
          </xdr:cNvPr>
          <xdr:cNvSpPr>
            <a:spLocks noChangeArrowheads="1"/>
          </xdr:cNvSpPr>
        </xdr:nvSpPr>
        <xdr:spPr bwMode="auto">
          <a:xfrm>
            <a:off x="2263" y="195"/>
            <a:ext cx="35" cy="22"/>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Oval 329">
            <a:extLst>
              <a:ext uri="{FF2B5EF4-FFF2-40B4-BE49-F238E27FC236}">
                <a16:creationId xmlns:a16="http://schemas.microsoft.com/office/drawing/2014/main" id="{00000000-0008-0000-0100-000005000000}"/>
              </a:ext>
            </a:extLst>
          </xdr:cNvPr>
          <xdr:cNvSpPr>
            <a:spLocks noChangeArrowheads="1"/>
          </xdr:cNvSpPr>
        </xdr:nvSpPr>
        <xdr:spPr bwMode="auto">
          <a:xfrm>
            <a:off x="2263" y="181"/>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30">
            <a:extLst>
              <a:ext uri="{FF2B5EF4-FFF2-40B4-BE49-F238E27FC236}">
                <a16:creationId xmlns:a16="http://schemas.microsoft.com/office/drawing/2014/main" id="{00000000-0008-0000-0100-000006000000}"/>
              </a:ext>
            </a:extLst>
          </xdr:cNvPr>
          <xdr:cNvSpPr>
            <a:spLocks noChangeArrowheads="1"/>
          </xdr:cNvSpPr>
        </xdr:nvSpPr>
        <xdr:spPr bwMode="auto">
          <a:xfrm>
            <a:off x="2263" y="57"/>
            <a:ext cx="35" cy="139"/>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31">
            <a:extLst>
              <a:ext uri="{FF2B5EF4-FFF2-40B4-BE49-F238E27FC236}">
                <a16:creationId xmlns:a16="http://schemas.microsoft.com/office/drawing/2014/main" id="{00000000-0008-0000-0100-000007000000}"/>
              </a:ext>
            </a:extLst>
          </xdr:cNvPr>
          <xdr:cNvSpPr>
            <a:spLocks noChangeArrowheads="1"/>
          </xdr:cNvSpPr>
        </xdr:nvSpPr>
        <xdr:spPr bwMode="auto">
          <a:xfrm>
            <a:off x="2255" y="217"/>
            <a:ext cx="49" cy="8"/>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332">
            <a:extLst>
              <a:ext uri="{FF2B5EF4-FFF2-40B4-BE49-F238E27FC236}">
                <a16:creationId xmlns:a16="http://schemas.microsoft.com/office/drawing/2014/main" id="{00000000-0008-0000-0100-000008000000}"/>
              </a:ext>
            </a:extLst>
          </xdr:cNvPr>
          <xdr:cNvSpPr>
            <a:spLocks noChangeShapeType="1"/>
          </xdr:cNvSpPr>
        </xdr:nvSpPr>
        <xdr:spPr bwMode="auto">
          <a:xfrm>
            <a:off x="2255" y="221"/>
            <a:ext cx="49"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295275</xdr:colOff>
      <xdr:row>20</xdr:row>
      <xdr:rowOff>114300</xdr:rowOff>
    </xdr:from>
    <xdr:to>
      <xdr:col>10</xdr:col>
      <xdr:colOff>295275</xdr:colOff>
      <xdr:row>25</xdr:row>
      <xdr:rowOff>9525</xdr:rowOff>
    </xdr:to>
    <xdr:grpSp>
      <xdr:nvGrpSpPr>
        <xdr:cNvPr id="9" name="Group 591">
          <a:extLst>
            <a:ext uri="{FF2B5EF4-FFF2-40B4-BE49-F238E27FC236}">
              <a16:creationId xmlns:a16="http://schemas.microsoft.com/office/drawing/2014/main" id="{00000000-0008-0000-0100-000009000000}"/>
            </a:ext>
          </a:extLst>
        </xdr:cNvPr>
        <xdr:cNvGrpSpPr>
          <a:grpSpLocks/>
        </xdr:cNvGrpSpPr>
      </xdr:nvGrpSpPr>
      <xdr:grpSpPr bwMode="auto">
        <a:xfrm>
          <a:off x="6402481" y="4078381"/>
          <a:ext cx="840441" cy="875740"/>
          <a:chOff x="997" y="134"/>
          <a:chExt cx="143" cy="138"/>
        </a:xfrm>
      </xdr:grpSpPr>
      <xdr:sp macro="" textlink="">
        <xdr:nvSpPr>
          <xdr:cNvPr id="10" name="Rectangle 587">
            <a:extLst>
              <a:ext uri="{FF2B5EF4-FFF2-40B4-BE49-F238E27FC236}">
                <a16:creationId xmlns:a16="http://schemas.microsoft.com/office/drawing/2014/main" id="{00000000-0008-0000-0100-00000A000000}"/>
              </a:ext>
            </a:extLst>
          </xdr:cNvPr>
          <xdr:cNvSpPr>
            <a:spLocks noChangeArrowheads="1"/>
          </xdr:cNvSpPr>
        </xdr:nvSpPr>
        <xdr:spPr bwMode="auto">
          <a:xfrm>
            <a:off x="997" y="161"/>
            <a:ext cx="143" cy="111"/>
          </a:xfrm>
          <a:prstGeom prst="rect">
            <a:avLst/>
          </a:prstGeom>
          <a:gradFill rotWithShape="0">
            <a:gsLst>
              <a:gs pos="0">
                <a:srgbClr xmlns:mc="http://schemas.openxmlformats.org/markup-compatibility/2006" xmlns:a14="http://schemas.microsoft.com/office/drawing/2010/main" val="454545" mc:Ignorable="a14" a14:legacySpreadsheetColorIndex="55">
                  <a:gamma/>
                  <a:shade val="46275"/>
                  <a:invGamma/>
                </a:srgbClr>
              </a:gs>
              <a:gs pos="50000">
                <a:srgbClr xmlns:mc="http://schemas.openxmlformats.org/markup-compatibility/2006" xmlns:a14="http://schemas.microsoft.com/office/drawing/2010/main" val="969696" mc:Ignorable="a14" a14:legacySpreadsheetColorIndex="55"/>
              </a:gs>
              <a:gs pos="100000">
                <a:srgbClr xmlns:mc="http://schemas.openxmlformats.org/markup-compatibility/2006" xmlns:a14="http://schemas.microsoft.com/office/drawing/2010/main" val="454545" mc:Ignorable="a14" a14:legacySpreadsheetColorIndex="55">
                  <a:gamma/>
                  <a:shade val="46275"/>
                  <a:invGamma/>
                </a:srgbClr>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AutoShape 590">
            <a:extLst>
              <a:ext uri="{FF2B5EF4-FFF2-40B4-BE49-F238E27FC236}">
                <a16:creationId xmlns:a16="http://schemas.microsoft.com/office/drawing/2014/main" id="{00000000-0008-0000-0100-00000B000000}"/>
              </a:ext>
            </a:extLst>
          </xdr:cNvPr>
          <xdr:cNvSpPr>
            <a:spLocks noChangeArrowheads="1"/>
          </xdr:cNvSpPr>
        </xdr:nvSpPr>
        <xdr:spPr bwMode="auto">
          <a:xfrm>
            <a:off x="999" y="134"/>
            <a:ext cx="141" cy="28"/>
          </a:xfrm>
          <a:prstGeom prst="triangle">
            <a:avLst>
              <a:gd name="adj" fmla="val 50000"/>
            </a:avLst>
          </a:prstGeom>
          <a:gradFill rotWithShape="1">
            <a:gsLst>
              <a:gs pos="0">
                <a:srgbClr xmlns:mc="http://schemas.openxmlformats.org/markup-compatibility/2006" xmlns:a14="http://schemas.microsoft.com/office/drawing/2010/main" val="454545" mc:Ignorable="a14" a14:legacySpreadsheetColorIndex="55">
                  <a:gamma/>
                  <a:shade val="46275"/>
                  <a:invGamma/>
                </a:srgbClr>
              </a:gs>
              <a:gs pos="50000">
                <a:srgbClr xmlns:mc="http://schemas.openxmlformats.org/markup-compatibility/2006" xmlns:a14="http://schemas.microsoft.com/office/drawing/2010/main" val="969696" mc:Ignorable="a14" a14:legacySpreadsheetColorIndex="55"/>
              </a:gs>
              <a:gs pos="100000">
                <a:srgbClr xmlns:mc="http://schemas.openxmlformats.org/markup-compatibility/2006" xmlns:a14="http://schemas.microsoft.com/office/drawing/2010/main" val="454545" mc:Ignorable="a14" a14:legacySpreadsheetColorIndex="55">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11</xdr:col>
      <xdr:colOff>352425</xdr:colOff>
      <xdr:row>7</xdr:row>
      <xdr:rowOff>171450</xdr:rowOff>
    </xdr:from>
    <xdr:to>
      <xdr:col>11</xdr:col>
      <xdr:colOff>584200</xdr:colOff>
      <xdr:row>9</xdr:row>
      <xdr:rowOff>139700</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8056469" y="1586193"/>
          <a:ext cx="231775" cy="360456"/>
          <a:chOff x="7924800" y="3089275"/>
          <a:chExt cx="431800" cy="473075"/>
        </a:xfrm>
      </xdr:grpSpPr>
      <xdr:sp macro="" textlink="">
        <xdr:nvSpPr>
          <xdr:cNvPr id="13" name="Rectangle 12">
            <a:extLst>
              <a:ext uri="{FF2B5EF4-FFF2-40B4-BE49-F238E27FC236}">
                <a16:creationId xmlns:a16="http://schemas.microsoft.com/office/drawing/2014/main" id="{00000000-0008-0000-0100-00000D000000}"/>
              </a:ext>
            </a:extLst>
          </xdr:cNvPr>
          <xdr:cNvSpPr/>
        </xdr:nvSpPr>
        <xdr:spPr bwMode="auto">
          <a:xfrm>
            <a:off x="8101012" y="3386137"/>
            <a:ext cx="63500" cy="1746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14" name="Rectangle 13">
            <a:extLst>
              <a:ext uri="{FF2B5EF4-FFF2-40B4-BE49-F238E27FC236}">
                <a16:creationId xmlns:a16="http://schemas.microsoft.com/office/drawing/2014/main" id="{00000000-0008-0000-0100-00000E000000}"/>
              </a:ext>
            </a:extLst>
          </xdr:cNvPr>
          <xdr:cNvSpPr/>
        </xdr:nvSpPr>
        <xdr:spPr bwMode="auto">
          <a:xfrm>
            <a:off x="7924800" y="3089275"/>
            <a:ext cx="431800" cy="30162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15" name="Line 110">
            <a:extLst>
              <a:ext uri="{FF2B5EF4-FFF2-40B4-BE49-F238E27FC236}">
                <a16:creationId xmlns:a16="http://schemas.microsoft.com/office/drawing/2014/main" id="{00000000-0008-0000-0100-00000F000000}"/>
              </a:ext>
            </a:extLst>
          </xdr:cNvPr>
          <xdr:cNvSpPr>
            <a:spLocks noChangeShapeType="1"/>
          </xdr:cNvSpPr>
        </xdr:nvSpPr>
        <xdr:spPr bwMode="auto">
          <a:xfrm>
            <a:off x="7924800" y="3287169"/>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 name="Line 111">
            <a:extLst>
              <a:ext uri="{FF2B5EF4-FFF2-40B4-BE49-F238E27FC236}">
                <a16:creationId xmlns:a16="http://schemas.microsoft.com/office/drawing/2014/main" id="{00000000-0008-0000-0100-000010000000}"/>
              </a:ext>
            </a:extLst>
          </xdr:cNvPr>
          <xdr:cNvSpPr>
            <a:spLocks noChangeShapeType="1"/>
          </xdr:cNvSpPr>
        </xdr:nvSpPr>
        <xdr:spPr bwMode="auto">
          <a:xfrm>
            <a:off x="7924800" y="330660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 name="Line 112">
            <a:extLst>
              <a:ext uri="{FF2B5EF4-FFF2-40B4-BE49-F238E27FC236}">
                <a16:creationId xmlns:a16="http://schemas.microsoft.com/office/drawing/2014/main" id="{00000000-0008-0000-0100-000011000000}"/>
              </a:ext>
            </a:extLst>
          </xdr:cNvPr>
          <xdr:cNvSpPr>
            <a:spLocks noChangeShapeType="1"/>
          </xdr:cNvSpPr>
        </xdr:nvSpPr>
        <xdr:spPr bwMode="auto">
          <a:xfrm>
            <a:off x="7924800" y="333575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xnSp macro="">
        <xdr:nvCxnSpPr>
          <xdr:cNvPr id="18" name="Straight Connector 17">
            <a:extLst>
              <a:ext uri="{FF2B5EF4-FFF2-40B4-BE49-F238E27FC236}">
                <a16:creationId xmlns:a16="http://schemas.microsoft.com/office/drawing/2014/main" id="{00000000-0008-0000-0100-000012000000}"/>
              </a:ext>
            </a:extLst>
          </xdr:cNvPr>
          <xdr:cNvCxnSpPr>
            <a:stCxn id="14" idx="1"/>
          </xdr:cNvCxnSpPr>
        </xdr:nvCxnSpPr>
        <xdr:spPr bwMode="auto">
          <a:xfrm>
            <a:off x="7924800" y="3240088"/>
            <a:ext cx="4763" cy="312737"/>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 name="Straight Connector 18">
            <a:extLst>
              <a:ext uri="{FF2B5EF4-FFF2-40B4-BE49-F238E27FC236}">
                <a16:creationId xmlns:a16="http://schemas.microsoft.com/office/drawing/2014/main" id="{00000000-0008-0000-0100-000013000000}"/>
              </a:ext>
            </a:extLst>
          </xdr:cNvPr>
          <xdr:cNvCxnSpPr/>
        </xdr:nvCxnSpPr>
        <xdr:spPr bwMode="auto">
          <a:xfrm>
            <a:off x="8356600" y="3228975"/>
            <a:ext cx="0" cy="333375"/>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14</xdr:col>
      <xdr:colOff>0</xdr:colOff>
      <xdr:row>7</xdr:row>
      <xdr:rowOff>152400</xdr:rowOff>
    </xdr:from>
    <xdr:to>
      <xdr:col>14</xdr:col>
      <xdr:colOff>228600</xdr:colOff>
      <xdr:row>9</xdr:row>
      <xdr:rowOff>101600</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9931213" y="1567143"/>
          <a:ext cx="228600" cy="341406"/>
          <a:chOff x="7924800" y="3089275"/>
          <a:chExt cx="431800" cy="473075"/>
        </a:xfrm>
      </xdr:grpSpPr>
      <xdr:sp macro="" textlink="">
        <xdr:nvSpPr>
          <xdr:cNvPr id="21" name="Rectangle 20">
            <a:extLst>
              <a:ext uri="{FF2B5EF4-FFF2-40B4-BE49-F238E27FC236}">
                <a16:creationId xmlns:a16="http://schemas.microsoft.com/office/drawing/2014/main" id="{00000000-0008-0000-0100-000015000000}"/>
              </a:ext>
            </a:extLst>
          </xdr:cNvPr>
          <xdr:cNvSpPr/>
        </xdr:nvSpPr>
        <xdr:spPr bwMode="auto">
          <a:xfrm>
            <a:off x="8101012" y="3386137"/>
            <a:ext cx="63500" cy="1746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22" name="Rectangle 21">
            <a:extLst>
              <a:ext uri="{FF2B5EF4-FFF2-40B4-BE49-F238E27FC236}">
                <a16:creationId xmlns:a16="http://schemas.microsoft.com/office/drawing/2014/main" id="{00000000-0008-0000-0100-000016000000}"/>
              </a:ext>
            </a:extLst>
          </xdr:cNvPr>
          <xdr:cNvSpPr/>
        </xdr:nvSpPr>
        <xdr:spPr bwMode="auto">
          <a:xfrm>
            <a:off x="7924800" y="3089275"/>
            <a:ext cx="431800" cy="30162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23" name="Line 110">
            <a:extLst>
              <a:ext uri="{FF2B5EF4-FFF2-40B4-BE49-F238E27FC236}">
                <a16:creationId xmlns:a16="http://schemas.microsoft.com/office/drawing/2014/main" id="{00000000-0008-0000-0100-000017000000}"/>
              </a:ext>
            </a:extLst>
          </xdr:cNvPr>
          <xdr:cNvSpPr>
            <a:spLocks noChangeShapeType="1"/>
          </xdr:cNvSpPr>
        </xdr:nvSpPr>
        <xdr:spPr bwMode="auto">
          <a:xfrm>
            <a:off x="7924800" y="3287169"/>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4" name="Line 111">
            <a:extLst>
              <a:ext uri="{FF2B5EF4-FFF2-40B4-BE49-F238E27FC236}">
                <a16:creationId xmlns:a16="http://schemas.microsoft.com/office/drawing/2014/main" id="{00000000-0008-0000-0100-000018000000}"/>
              </a:ext>
            </a:extLst>
          </xdr:cNvPr>
          <xdr:cNvSpPr>
            <a:spLocks noChangeShapeType="1"/>
          </xdr:cNvSpPr>
        </xdr:nvSpPr>
        <xdr:spPr bwMode="auto">
          <a:xfrm>
            <a:off x="7924800" y="330660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5" name="Line 112">
            <a:extLst>
              <a:ext uri="{FF2B5EF4-FFF2-40B4-BE49-F238E27FC236}">
                <a16:creationId xmlns:a16="http://schemas.microsoft.com/office/drawing/2014/main" id="{00000000-0008-0000-0100-000019000000}"/>
              </a:ext>
            </a:extLst>
          </xdr:cNvPr>
          <xdr:cNvSpPr>
            <a:spLocks noChangeShapeType="1"/>
          </xdr:cNvSpPr>
        </xdr:nvSpPr>
        <xdr:spPr bwMode="auto">
          <a:xfrm>
            <a:off x="7924800" y="333575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xnSp macro="">
        <xdr:nvCxnSpPr>
          <xdr:cNvPr id="26" name="Straight Connector 25">
            <a:extLst>
              <a:ext uri="{FF2B5EF4-FFF2-40B4-BE49-F238E27FC236}">
                <a16:creationId xmlns:a16="http://schemas.microsoft.com/office/drawing/2014/main" id="{00000000-0008-0000-0100-00001A000000}"/>
              </a:ext>
            </a:extLst>
          </xdr:cNvPr>
          <xdr:cNvCxnSpPr>
            <a:stCxn id="22" idx="1"/>
          </xdr:cNvCxnSpPr>
        </xdr:nvCxnSpPr>
        <xdr:spPr bwMode="auto">
          <a:xfrm>
            <a:off x="7924800" y="3240088"/>
            <a:ext cx="4763" cy="312737"/>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7" name="Straight Connector 26">
            <a:extLst>
              <a:ext uri="{FF2B5EF4-FFF2-40B4-BE49-F238E27FC236}">
                <a16:creationId xmlns:a16="http://schemas.microsoft.com/office/drawing/2014/main" id="{00000000-0008-0000-0100-00001B000000}"/>
              </a:ext>
            </a:extLst>
          </xdr:cNvPr>
          <xdr:cNvCxnSpPr/>
        </xdr:nvCxnSpPr>
        <xdr:spPr bwMode="auto">
          <a:xfrm>
            <a:off x="8356600" y="3228975"/>
            <a:ext cx="0" cy="333375"/>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13</xdr:col>
      <xdr:colOff>200025</xdr:colOff>
      <xdr:row>8</xdr:row>
      <xdr:rowOff>180975</xdr:rowOff>
    </xdr:from>
    <xdr:to>
      <xdr:col>13</xdr:col>
      <xdr:colOff>447675</xdr:colOff>
      <xdr:row>11</xdr:row>
      <xdr:rowOff>171450</xdr:rowOff>
    </xdr:to>
    <xdr:grpSp>
      <xdr:nvGrpSpPr>
        <xdr:cNvPr id="36" name="Group 326">
          <a:extLst>
            <a:ext uri="{FF2B5EF4-FFF2-40B4-BE49-F238E27FC236}">
              <a16:creationId xmlns:a16="http://schemas.microsoft.com/office/drawing/2014/main" id="{00000000-0008-0000-0100-000024000000}"/>
            </a:ext>
          </a:extLst>
        </xdr:cNvPr>
        <xdr:cNvGrpSpPr>
          <a:grpSpLocks/>
        </xdr:cNvGrpSpPr>
      </xdr:nvGrpSpPr>
      <xdr:grpSpPr bwMode="auto">
        <a:xfrm>
          <a:off x="9332819" y="1791821"/>
          <a:ext cx="247650" cy="578783"/>
          <a:chOff x="2255" y="45"/>
          <a:chExt cx="49" cy="180"/>
        </a:xfrm>
      </xdr:grpSpPr>
      <xdr:sp macro="" textlink="">
        <xdr:nvSpPr>
          <xdr:cNvPr id="37" name="Oval 327">
            <a:extLst>
              <a:ext uri="{FF2B5EF4-FFF2-40B4-BE49-F238E27FC236}">
                <a16:creationId xmlns:a16="http://schemas.microsoft.com/office/drawing/2014/main" id="{00000000-0008-0000-0100-000025000000}"/>
              </a:ext>
            </a:extLst>
          </xdr:cNvPr>
          <xdr:cNvSpPr>
            <a:spLocks noChangeArrowheads="1"/>
          </xdr:cNvSpPr>
        </xdr:nvSpPr>
        <xdr:spPr bwMode="auto">
          <a:xfrm>
            <a:off x="2263" y="45"/>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 name="Rectangle 328">
            <a:extLst>
              <a:ext uri="{FF2B5EF4-FFF2-40B4-BE49-F238E27FC236}">
                <a16:creationId xmlns:a16="http://schemas.microsoft.com/office/drawing/2014/main" id="{00000000-0008-0000-0100-000026000000}"/>
              </a:ext>
            </a:extLst>
          </xdr:cNvPr>
          <xdr:cNvSpPr>
            <a:spLocks noChangeArrowheads="1"/>
          </xdr:cNvSpPr>
        </xdr:nvSpPr>
        <xdr:spPr bwMode="auto">
          <a:xfrm>
            <a:off x="2263" y="195"/>
            <a:ext cx="35" cy="22"/>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Oval 329">
            <a:extLst>
              <a:ext uri="{FF2B5EF4-FFF2-40B4-BE49-F238E27FC236}">
                <a16:creationId xmlns:a16="http://schemas.microsoft.com/office/drawing/2014/main" id="{00000000-0008-0000-0100-000027000000}"/>
              </a:ext>
            </a:extLst>
          </xdr:cNvPr>
          <xdr:cNvSpPr>
            <a:spLocks noChangeArrowheads="1"/>
          </xdr:cNvSpPr>
        </xdr:nvSpPr>
        <xdr:spPr bwMode="auto">
          <a:xfrm>
            <a:off x="2263" y="181"/>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330">
            <a:extLst>
              <a:ext uri="{FF2B5EF4-FFF2-40B4-BE49-F238E27FC236}">
                <a16:creationId xmlns:a16="http://schemas.microsoft.com/office/drawing/2014/main" id="{00000000-0008-0000-0100-000028000000}"/>
              </a:ext>
            </a:extLst>
          </xdr:cNvPr>
          <xdr:cNvSpPr>
            <a:spLocks noChangeArrowheads="1"/>
          </xdr:cNvSpPr>
        </xdr:nvSpPr>
        <xdr:spPr bwMode="auto">
          <a:xfrm>
            <a:off x="2263" y="57"/>
            <a:ext cx="35" cy="139"/>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331">
            <a:extLst>
              <a:ext uri="{FF2B5EF4-FFF2-40B4-BE49-F238E27FC236}">
                <a16:creationId xmlns:a16="http://schemas.microsoft.com/office/drawing/2014/main" id="{00000000-0008-0000-0100-000029000000}"/>
              </a:ext>
            </a:extLst>
          </xdr:cNvPr>
          <xdr:cNvSpPr>
            <a:spLocks noChangeArrowheads="1"/>
          </xdr:cNvSpPr>
        </xdr:nvSpPr>
        <xdr:spPr bwMode="auto">
          <a:xfrm>
            <a:off x="2255" y="217"/>
            <a:ext cx="49" cy="8"/>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 name="Line 332">
            <a:extLst>
              <a:ext uri="{FF2B5EF4-FFF2-40B4-BE49-F238E27FC236}">
                <a16:creationId xmlns:a16="http://schemas.microsoft.com/office/drawing/2014/main" id="{00000000-0008-0000-0100-00002A000000}"/>
              </a:ext>
            </a:extLst>
          </xdr:cNvPr>
          <xdr:cNvSpPr>
            <a:spLocks noChangeShapeType="1"/>
          </xdr:cNvSpPr>
        </xdr:nvSpPr>
        <xdr:spPr bwMode="auto">
          <a:xfrm>
            <a:off x="2255" y="221"/>
            <a:ext cx="49"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495300</xdr:colOff>
      <xdr:row>8</xdr:row>
      <xdr:rowOff>107950</xdr:rowOff>
    </xdr:from>
    <xdr:to>
      <xdr:col>16</xdr:col>
      <xdr:colOff>133350</xdr:colOff>
      <xdr:row>11</xdr:row>
      <xdr:rowOff>98425</xdr:rowOff>
    </xdr:to>
    <xdr:grpSp>
      <xdr:nvGrpSpPr>
        <xdr:cNvPr id="43" name="Group 326">
          <a:extLst>
            <a:ext uri="{FF2B5EF4-FFF2-40B4-BE49-F238E27FC236}">
              <a16:creationId xmlns:a16="http://schemas.microsoft.com/office/drawing/2014/main" id="{00000000-0008-0000-0100-00002B000000}"/>
            </a:ext>
          </a:extLst>
        </xdr:cNvPr>
        <xdr:cNvGrpSpPr>
          <a:grpSpLocks/>
        </xdr:cNvGrpSpPr>
      </xdr:nvGrpSpPr>
      <xdr:grpSpPr bwMode="auto">
        <a:xfrm>
          <a:off x="11042837" y="1718796"/>
          <a:ext cx="338417" cy="578783"/>
          <a:chOff x="2255" y="45"/>
          <a:chExt cx="49" cy="180"/>
        </a:xfrm>
      </xdr:grpSpPr>
      <xdr:sp macro="" textlink="">
        <xdr:nvSpPr>
          <xdr:cNvPr id="44" name="Oval 327">
            <a:extLst>
              <a:ext uri="{FF2B5EF4-FFF2-40B4-BE49-F238E27FC236}">
                <a16:creationId xmlns:a16="http://schemas.microsoft.com/office/drawing/2014/main" id="{00000000-0008-0000-0100-00002C000000}"/>
              </a:ext>
            </a:extLst>
          </xdr:cNvPr>
          <xdr:cNvSpPr>
            <a:spLocks noChangeArrowheads="1"/>
          </xdr:cNvSpPr>
        </xdr:nvSpPr>
        <xdr:spPr bwMode="auto">
          <a:xfrm>
            <a:off x="2263" y="45"/>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328">
            <a:extLst>
              <a:ext uri="{FF2B5EF4-FFF2-40B4-BE49-F238E27FC236}">
                <a16:creationId xmlns:a16="http://schemas.microsoft.com/office/drawing/2014/main" id="{00000000-0008-0000-0100-00002D000000}"/>
              </a:ext>
            </a:extLst>
          </xdr:cNvPr>
          <xdr:cNvSpPr>
            <a:spLocks noChangeArrowheads="1"/>
          </xdr:cNvSpPr>
        </xdr:nvSpPr>
        <xdr:spPr bwMode="auto">
          <a:xfrm>
            <a:off x="2263" y="195"/>
            <a:ext cx="35" cy="22"/>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Oval 329">
            <a:extLst>
              <a:ext uri="{FF2B5EF4-FFF2-40B4-BE49-F238E27FC236}">
                <a16:creationId xmlns:a16="http://schemas.microsoft.com/office/drawing/2014/main" id="{00000000-0008-0000-0100-00002E000000}"/>
              </a:ext>
            </a:extLst>
          </xdr:cNvPr>
          <xdr:cNvSpPr>
            <a:spLocks noChangeArrowheads="1"/>
          </xdr:cNvSpPr>
        </xdr:nvSpPr>
        <xdr:spPr bwMode="auto">
          <a:xfrm>
            <a:off x="2263" y="181"/>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 name="Rectangle 330">
            <a:extLst>
              <a:ext uri="{FF2B5EF4-FFF2-40B4-BE49-F238E27FC236}">
                <a16:creationId xmlns:a16="http://schemas.microsoft.com/office/drawing/2014/main" id="{00000000-0008-0000-0100-00002F000000}"/>
              </a:ext>
            </a:extLst>
          </xdr:cNvPr>
          <xdr:cNvSpPr>
            <a:spLocks noChangeArrowheads="1"/>
          </xdr:cNvSpPr>
        </xdr:nvSpPr>
        <xdr:spPr bwMode="auto">
          <a:xfrm>
            <a:off x="2263" y="57"/>
            <a:ext cx="35" cy="139"/>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 name="Rectangle 331">
            <a:extLst>
              <a:ext uri="{FF2B5EF4-FFF2-40B4-BE49-F238E27FC236}">
                <a16:creationId xmlns:a16="http://schemas.microsoft.com/office/drawing/2014/main" id="{00000000-0008-0000-0100-000030000000}"/>
              </a:ext>
            </a:extLst>
          </xdr:cNvPr>
          <xdr:cNvSpPr>
            <a:spLocks noChangeArrowheads="1"/>
          </xdr:cNvSpPr>
        </xdr:nvSpPr>
        <xdr:spPr bwMode="auto">
          <a:xfrm>
            <a:off x="2255" y="217"/>
            <a:ext cx="49" cy="8"/>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Line 332">
            <a:extLst>
              <a:ext uri="{FF2B5EF4-FFF2-40B4-BE49-F238E27FC236}">
                <a16:creationId xmlns:a16="http://schemas.microsoft.com/office/drawing/2014/main" id="{00000000-0008-0000-0100-000031000000}"/>
              </a:ext>
            </a:extLst>
          </xdr:cNvPr>
          <xdr:cNvSpPr>
            <a:spLocks noChangeShapeType="1"/>
          </xdr:cNvSpPr>
        </xdr:nvSpPr>
        <xdr:spPr bwMode="auto">
          <a:xfrm>
            <a:off x="2255" y="221"/>
            <a:ext cx="49"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10</xdr:col>
      <xdr:colOff>681826</xdr:colOff>
      <xdr:row>8</xdr:row>
      <xdr:rowOff>91767</xdr:rowOff>
    </xdr:from>
    <xdr:to>
      <xdr:col>11</xdr:col>
      <xdr:colOff>355600</xdr:colOff>
      <xdr:row>9</xdr:row>
      <xdr:rowOff>12701</xdr:rowOff>
    </xdr:to>
    <xdr:cxnSp macro="">
      <xdr:nvCxnSpPr>
        <xdr:cNvPr id="50" name="Elbow Connector 49">
          <a:extLst>
            <a:ext uri="{FF2B5EF4-FFF2-40B4-BE49-F238E27FC236}">
              <a16:creationId xmlns:a16="http://schemas.microsoft.com/office/drawing/2014/main" id="{00000000-0008-0000-0100-000032000000}"/>
            </a:ext>
          </a:extLst>
        </xdr:cNvPr>
        <xdr:cNvCxnSpPr>
          <a:stCxn id="3" idx="0"/>
          <a:endCxn id="14" idx="1"/>
        </xdr:cNvCxnSpPr>
      </xdr:nvCxnSpPr>
      <xdr:spPr>
        <a:xfrm rot="5400000" flipH="1" flipV="1">
          <a:off x="7467046" y="1028147"/>
          <a:ext cx="115667" cy="57970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468313</xdr:colOff>
      <xdr:row>6</xdr:row>
      <xdr:rowOff>76474</xdr:rowOff>
    </xdr:from>
    <xdr:to>
      <xdr:col>12</xdr:col>
      <xdr:colOff>28575</xdr:colOff>
      <xdr:row>7</xdr:row>
      <xdr:rowOff>171450</xdr:rowOff>
    </xdr:to>
    <xdr:cxnSp macro="">
      <xdr:nvCxnSpPr>
        <xdr:cNvPr id="51" name="Elbow Connector 50">
          <a:extLst>
            <a:ext uri="{FF2B5EF4-FFF2-40B4-BE49-F238E27FC236}">
              <a16:creationId xmlns:a16="http://schemas.microsoft.com/office/drawing/2014/main" id="{00000000-0008-0000-0100-000033000000}"/>
            </a:ext>
          </a:extLst>
        </xdr:cNvPr>
        <xdr:cNvCxnSpPr>
          <a:stCxn id="14" idx="0"/>
          <a:endCxn id="185" idx="3"/>
        </xdr:cNvCxnSpPr>
      </xdr:nvCxnSpPr>
      <xdr:spPr>
        <a:xfrm rot="5400000" flipH="1" flipV="1">
          <a:off x="7573306" y="896281"/>
          <a:ext cx="285476" cy="169862"/>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326378</xdr:colOff>
      <xdr:row>8</xdr:row>
      <xdr:rowOff>67165</xdr:rowOff>
    </xdr:from>
    <xdr:to>
      <xdr:col>14</xdr:col>
      <xdr:colOff>0</xdr:colOff>
      <xdr:row>8</xdr:row>
      <xdr:rowOff>180975</xdr:rowOff>
    </xdr:to>
    <xdr:cxnSp macro="">
      <xdr:nvCxnSpPr>
        <xdr:cNvPr id="52" name="Elbow Connector 51">
          <a:extLst>
            <a:ext uri="{FF2B5EF4-FFF2-40B4-BE49-F238E27FC236}">
              <a16:creationId xmlns:a16="http://schemas.microsoft.com/office/drawing/2014/main" id="{00000000-0008-0000-0100-000034000000}"/>
            </a:ext>
          </a:extLst>
        </xdr:cNvPr>
        <xdr:cNvCxnSpPr>
          <a:stCxn id="37" idx="0"/>
          <a:endCxn id="22" idx="1"/>
        </xdr:cNvCxnSpPr>
      </xdr:nvCxnSpPr>
      <xdr:spPr>
        <a:xfrm rot="5400000" flipH="1" flipV="1">
          <a:off x="8793084" y="1125459"/>
          <a:ext cx="113810" cy="283222"/>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114299</xdr:colOff>
      <xdr:row>6</xdr:row>
      <xdr:rowOff>85999</xdr:rowOff>
    </xdr:from>
    <xdr:to>
      <xdr:col>14</xdr:col>
      <xdr:colOff>250824</xdr:colOff>
      <xdr:row>7</xdr:row>
      <xdr:rowOff>152401</xdr:rowOff>
    </xdr:to>
    <xdr:cxnSp macro="">
      <xdr:nvCxnSpPr>
        <xdr:cNvPr id="53" name="Elbow Connector 52">
          <a:extLst>
            <a:ext uri="{FF2B5EF4-FFF2-40B4-BE49-F238E27FC236}">
              <a16:creationId xmlns:a16="http://schemas.microsoft.com/office/drawing/2014/main" id="{00000000-0008-0000-0100-000035000000}"/>
            </a:ext>
          </a:extLst>
        </xdr:cNvPr>
        <xdr:cNvCxnSpPr>
          <a:stCxn id="22" idx="0"/>
          <a:endCxn id="250" idx="3"/>
        </xdr:cNvCxnSpPr>
      </xdr:nvCxnSpPr>
      <xdr:spPr>
        <a:xfrm rot="5400000" flipH="1" flipV="1">
          <a:off x="9045711" y="908187"/>
          <a:ext cx="256902" cy="13652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12053</xdr:colOff>
      <xdr:row>8</xdr:row>
      <xdr:rowOff>63409</xdr:rowOff>
    </xdr:from>
    <xdr:to>
      <xdr:col>16</xdr:col>
      <xdr:colOff>387350</xdr:colOff>
      <xdr:row>8</xdr:row>
      <xdr:rowOff>111126</xdr:rowOff>
    </xdr:to>
    <xdr:cxnSp macro="">
      <xdr:nvCxnSpPr>
        <xdr:cNvPr id="54" name="Elbow Connector 53">
          <a:extLst>
            <a:ext uri="{FF2B5EF4-FFF2-40B4-BE49-F238E27FC236}">
              <a16:creationId xmlns:a16="http://schemas.microsoft.com/office/drawing/2014/main" id="{00000000-0008-0000-0100-000036000000}"/>
            </a:ext>
          </a:extLst>
        </xdr:cNvPr>
        <xdr:cNvCxnSpPr>
          <a:stCxn id="44" idx="0"/>
          <a:endCxn id="30" idx="1"/>
        </xdr:cNvCxnSpPr>
      </xdr:nvCxnSpPr>
      <xdr:spPr>
        <a:xfrm rot="5400000" flipH="1" flipV="1">
          <a:off x="10953910" y="1068019"/>
          <a:ext cx="47717" cy="37529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529166</xdr:colOff>
      <xdr:row>6</xdr:row>
      <xdr:rowOff>99938</xdr:rowOff>
    </xdr:from>
    <xdr:to>
      <xdr:col>16</xdr:col>
      <xdr:colOff>571499</xdr:colOff>
      <xdr:row>7</xdr:row>
      <xdr:rowOff>155576</xdr:rowOff>
    </xdr:to>
    <xdr:cxnSp macro="">
      <xdr:nvCxnSpPr>
        <xdr:cNvPr id="118" name="Elbow Connector 117">
          <a:extLst>
            <a:ext uri="{FF2B5EF4-FFF2-40B4-BE49-F238E27FC236}">
              <a16:creationId xmlns:a16="http://schemas.microsoft.com/office/drawing/2014/main" id="{00000000-0008-0000-0100-000076000000}"/>
            </a:ext>
          </a:extLst>
        </xdr:cNvPr>
        <xdr:cNvCxnSpPr>
          <a:stCxn id="30" idx="0"/>
          <a:endCxn id="317" idx="3"/>
        </xdr:cNvCxnSpPr>
      </xdr:nvCxnSpPr>
      <xdr:spPr>
        <a:xfrm rot="5400000" flipH="1" flipV="1">
          <a:off x="11203214" y="982890"/>
          <a:ext cx="250372" cy="4233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304800</xdr:colOff>
      <xdr:row>9</xdr:row>
      <xdr:rowOff>19050</xdr:rowOff>
    </xdr:from>
    <xdr:to>
      <xdr:col>18</xdr:col>
      <xdr:colOff>552450</xdr:colOff>
      <xdr:row>12</xdr:row>
      <xdr:rowOff>9525</xdr:rowOff>
    </xdr:to>
    <xdr:grpSp>
      <xdr:nvGrpSpPr>
        <xdr:cNvPr id="119" name="Group 326">
          <a:extLst>
            <a:ext uri="{FF2B5EF4-FFF2-40B4-BE49-F238E27FC236}">
              <a16:creationId xmlns:a16="http://schemas.microsoft.com/office/drawing/2014/main" id="{00000000-0008-0000-0100-000077000000}"/>
            </a:ext>
          </a:extLst>
        </xdr:cNvPr>
        <xdr:cNvGrpSpPr>
          <a:grpSpLocks/>
        </xdr:cNvGrpSpPr>
      </xdr:nvGrpSpPr>
      <xdr:grpSpPr bwMode="auto">
        <a:xfrm>
          <a:off x="12813366" y="1825999"/>
          <a:ext cx="247650" cy="578783"/>
          <a:chOff x="2255" y="45"/>
          <a:chExt cx="49" cy="180"/>
        </a:xfrm>
      </xdr:grpSpPr>
      <xdr:sp macro="" textlink="">
        <xdr:nvSpPr>
          <xdr:cNvPr id="120" name="Oval 327">
            <a:extLst>
              <a:ext uri="{FF2B5EF4-FFF2-40B4-BE49-F238E27FC236}">
                <a16:creationId xmlns:a16="http://schemas.microsoft.com/office/drawing/2014/main" id="{00000000-0008-0000-0100-000078000000}"/>
              </a:ext>
            </a:extLst>
          </xdr:cNvPr>
          <xdr:cNvSpPr>
            <a:spLocks noChangeArrowheads="1"/>
          </xdr:cNvSpPr>
        </xdr:nvSpPr>
        <xdr:spPr bwMode="auto">
          <a:xfrm>
            <a:off x="2263" y="45"/>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1" name="Rectangle 328">
            <a:extLst>
              <a:ext uri="{FF2B5EF4-FFF2-40B4-BE49-F238E27FC236}">
                <a16:creationId xmlns:a16="http://schemas.microsoft.com/office/drawing/2014/main" id="{00000000-0008-0000-0100-000079000000}"/>
              </a:ext>
            </a:extLst>
          </xdr:cNvPr>
          <xdr:cNvSpPr>
            <a:spLocks noChangeArrowheads="1"/>
          </xdr:cNvSpPr>
        </xdr:nvSpPr>
        <xdr:spPr bwMode="auto">
          <a:xfrm>
            <a:off x="2263" y="195"/>
            <a:ext cx="35" cy="22"/>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Oval 329">
            <a:extLst>
              <a:ext uri="{FF2B5EF4-FFF2-40B4-BE49-F238E27FC236}">
                <a16:creationId xmlns:a16="http://schemas.microsoft.com/office/drawing/2014/main" id="{00000000-0008-0000-0100-00007A000000}"/>
              </a:ext>
            </a:extLst>
          </xdr:cNvPr>
          <xdr:cNvSpPr>
            <a:spLocks noChangeArrowheads="1"/>
          </xdr:cNvSpPr>
        </xdr:nvSpPr>
        <xdr:spPr bwMode="auto">
          <a:xfrm>
            <a:off x="2263" y="181"/>
            <a:ext cx="34" cy="25"/>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3" name="Rectangle 330">
            <a:extLst>
              <a:ext uri="{FF2B5EF4-FFF2-40B4-BE49-F238E27FC236}">
                <a16:creationId xmlns:a16="http://schemas.microsoft.com/office/drawing/2014/main" id="{00000000-0008-0000-0100-00007B000000}"/>
              </a:ext>
            </a:extLst>
          </xdr:cNvPr>
          <xdr:cNvSpPr>
            <a:spLocks noChangeArrowheads="1"/>
          </xdr:cNvSpPr>
        </xdr:nvSpPr>
        <xdr:spPr bwMode="auto">
          <a:xfrm>
            <a:off x="2263" y="57"/>
            <a:ext cx="35" cy="139"/>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Rectangle 331">
            <a:extLst>
              <a:ext uri="{FF2B5EF4-FFF2-40B4-BE49-F238E27FC236}">
                <a16:creationId xmlns:a16="http://schemas.microsoft.com/office/drawing/2014/main" id="{00000000-0008-0000-0100-00007C000000}"/>
              </a:ext>
            </a:extLst>
          </xdr:cNvPr>
          <xdr:cNvSpPr>
            <a:spLocks noChangeArrowheads="1"/>
          </xdr:cNvSpPr>
        </xdr:nvSpPr>
        <xdr:spPr bwMode="auto">
          <a:xfrm>
            <a:off x="2255" y="217"/>
            <a:ext cx="49" cy="8"/>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5" name="Line 332">
            <a:extLst>
              <a:ext uri="{FF2B5EF4-FFF2-40B4-BE49-F238E27FC236}">
                <a16:creationId xmlns:a16="http://schemas.microsoft.com/office/drawing/2014/main" id="{00000000-0008-0000-0100-00007D000000}"/>
              </a:ext>
            </a:extLst>
          </xdr:cNvPr>
          <xdr:cNvSpPr>
            <a:spLocks noChangeShapeType="1"/>
          </xdr:cNvSpPr>
        </xdr:nvSpPr>
        <xdr:spPr bwMode="auto">
          <a:xfrm>
            <a:off x="2255" y="221"/>
            <a:ext cx="49"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417351</xdr:colOff>
      <xdr:row>10</xdr:row>
      <xdr:rowOff>54425</xdr:rowOff>
    </xdr:from>
    <xdr:to>
      <xdr:col>16</xdr:col>
      <xdr:colOff>12053</xdr:colOff>
      <xdr:row>11</xdr:row>
      <xdr:rowOff>39105</xdr:rowOff>
    </xdr:to>
    <xdr:cxnSp macro="">
      <xdr:nvCxnSpPr>
        <xdr:cNvPr id="127" name="Elbow Connector 126">
          <a:extLst>
            <a:ext uri="{FF2B5EF4-FFF2-40B4-BE49-F238E27FC236}">
              <a16:creationId xmlns:a16="http://schemas.microsoft.com/office/drawing/2014/main" id="{00000000-0008-0000-0100-00007F000000}"/>
            </a:ext>
          </a:extLst>
        </xdr:cNvPr>
        <xdr:cNvCxnSpPr>
          <a:stCxn id="46" idx="4"/>
          <a:endCxn id="40" idx="3"/>
        </xdr:cNvCxnSpPr>
      </xdr:nvCxnSpPr>
      <xdr:spPr>
        <a:xfrm rot="5400000" flipH="1">
          <a:off x="9423512" y="954264"/>
          <a:ext cx="175180" cy="1423502"/>
        </a:xfrm>
        <a:prstGeom prst="bentConnector4">
          <a:avLst>
            <a:gd name="adj1" fmla="val -130494"/>
            <a:gd name="adj2" fmla="val 53018"/>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103026</xdr:colOff>
      <xdr:row>9</xdr:row>
      <xdr:rowOff>171901</xdr:rowOff>
    </xdr:from>
    <xdr:to>
      <xdr:col>18</xdr:col>
      <xdr:colOff>431153</xdr:colOff>
      <xdr:row>11</xdr:row>
      <xdr:rowOff>140706</xdr:rowOff>
    </xdr:to>
    <xdr:cxnSp macro="">
      <xdr:nvCxnSpPr>
        <xdr:cNvPr id="129" name="Elbow Connector 128">
          <a:extLst>
            <a:ext uri="{FF2B5EF4-FFF2-40B4-BE49-F238E27FC236}">
              <a16:creationId xmlns:a16="http://schemas.microsoft.com/office/drawing/2014/main" id="{00000000-0008-0000-0100-000081000000}"/>
            </a:ext>
          </a:extLst>
        </xdr:cNvPr>
        <xdr:cNvCxnSpPr>
          <a:stCxn id="122" idx="4"/>
          <a:endCxn id="47" idx="3"/>
        </xdr:cNvCxnSpPr>
      </xdr:nvCxnSpPr>
      <xdr:spPr>
        <a:xfrm rot="5400000" flipH="1">
          <a:off x="10906237" y="912990"/>
          <a:ext cx="349805" cy="1534627"/>
        </a:xfrm>
        <a:prstGeom prst="bentConnector4">
          <a:avLst>
            <a:gd name="adj1" fmla="val -65351"/>
            <a:gd name="adj2" fmla="val 52799"/>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430737</xdr:colOff>
      <xdr:row>15</xdr:row>
      <xdr:rowOff>1750</xdr:rowOff>
    </xdr:from>
    <xdr:to>
      <xdr:col>9</xdr:col>
      <xdr:colOff>295274</xdr:colOff>
      <xdr:row>23</xdr:row>
      <xdr:rowOff>49592</xdr:rowOff>
    </xdr:to>
    <xdr:cxnSp macro="">
      <xdr:nvCxnSpPr>
        <xdr:cNvPr id="130" name="Elbow Connector 129">
          <a:extLst>
            <a:ext uri="{FF2B5EF4-FFF2-40B4-BE49-F238E27FC236}">
              <a16:creationId xmlns:a16="http://schemas.microsoft.com/office/drawing/2014/main" id="{00000000-0008-0000-0100-000082000000}"/>
            </a:ext>
          </a:extLst>
        </xdr:cNvPr>
        <xdr:cNvCxnSpPr>
          <a:stCxn id="382" idx="3"/>
          <a:endCxn id="10" idx="1"/>
        </xdr:cNvCxnSpPr>
      </xdr:nvCxnSpPr>
      <xdr:spPr>
        <a:xfrm rot="16200000" flipH="1">
          <a:off x="5133335" y="2944552"/>
          <a:ext cx="1571842" cy="63923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717822</xdr:colOff>
      <xdr:row>20</xdr:row>
      <xdr:rowOff>114299</xdr:rowOff>
    </xdr:from>
    <xdr:to>
      <xdr:col>12</xdr:col>
      <xdr:colOff>151922</xdr:colOff>
      <xdr:row>23</xdr:row>
      <xdr:rowOff>14713</xdr:rowOff>
    </xdr:to>
    <xdr:cxnSp macro="">
      <xdr:nvCxnSpPr>
        <xdr:cNvPr id="131" name="Elbow Connector 130">
          <a:extLst>
            <a:ext uri="{FF2B5EF4-FFF2-40B4-BE49-F238E27FC236}">
              <a16:creationId xmlns:a16="http://schemas.microsoft.com/office/drawing/2014/main" id="{00000000-0008-0000-0100-000083000000}"/>
            </a:ext>
          </a:extLst>
        </xdr:cNvPr>
        <xdr:cNvCxnSpPr>
          <a:stCxn id="11" idx="0"/>
          <a:endCxn id="143" idx="2"/>
        </xdr:cNvCxnSpPr>
      </xdr:nvCxnSpPr>
      <xdr:spPr>
        <a:xfrm rot="16200000" flipH="1">
          <a:off x="7271227" y="3410610"/>
          <a:ext cx="484903" cy="1772054"/>
        </a:xfrm>
        <a:prstGeom prst="bentConnector5">
          <a:avLst>
            <a:gd name="adj1" fmla="val -47143"/>
            <a:gd name="adj2" fmla="val 60293"/>
            <a:gd name="adj3" fmla="val 14714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2</xdr:row>
      <xdr:rowOff>139701</xdr:rowOff>
    </xdr:from>
    <xdr:to>
      <xdr:col>25</xdr:col>
      <xdr:colOff>127000</xdr:colOff>
      <xdr:row>27</xdr:row>
      <xdr:rowOff>38101</xdr:rowOff>
    </xdr:to>
    <xdr:sp macro="" textlink="">
      <xdr:nvSpPr>
        <xdr:cNvPr id="132" name="Rectangle 131">
          <a:extLst>
            <a:ext uri="{FF2B5EF4-FFF2-40B4-BE49-F238E27FC236}">
              <a16:creationId xmlns:a16="http://schemas.microsoft.com/office/drawing/2014/main" id="{00000000-0008-0000-0100-000084000000}"/>
            </a:ext>
          </a:extLst>
        </xdr:cNvPr>
        <xdr:cNvSpPr/>
      </xdr:nvSpPr>
      <xdr:spPr>
        <a:xfrm>
          <a:off x="3365500" y="139701"/>
          <a:ext cx="12966700" cy="4660900"/>
        </a:xfrm>
        <a:prstGeom prst="rect">
          <a:avLst/>
        </a:prstGeom>
        <a:noFill/>
        <a:ln>
          <a:solidFill>
            <a:schemeClr val="tx1">
              <a:lumMod val="75000"/>
              <a:lumOff val="2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35984</xdr:colOff>
      <xdr:row>20</xdr:row>
      <xdr:rowOff>103716</xdr:rowOff>
    </xdr:from>
    <xdr:to>
      <xdr:col>13</xdr:col>
      <xdr:colOff>738717</xdr:colOff>
      <xdr:row>24</xdr:row>
      <xdr:rowOff>192616</xdr:rowOff>
    </xdr:to>
    <xdr:grpSp>
      <xdr:nvGrpSpPr>
        <xdr:cNvPr id="133" name="Group 591">
          <a:extLst>
            <a:ext uri="{FF2B5EF4-FFF2-40B4-BE49-F238E27FC236}">
              <a16:creationId xmlns:a16="http://schemas.microsoft.com/office/drawing/2014/main" id="{00000000-0008-0000-0100-000085000000}"/>
            </a:ext>
          </a:extLst>
        </xdr:cNvPr>
        <xdr:cNvGrpSpPr>
          <a:grpSpLocks/>
        </xdr:cNvGrpSpPr>
      </xdr:nvGrpSpPr>
      <xdr:grpSpPr bwMode="auto">
        <a:xfrm>
          <a:off x="9168778" y="4067797"/>
          <a:ext cx="702733" cy="873312"/>
          <a:chOff x="997" y="134"/>
          <a:chExt cx="143" cy="138"/>
        </a:xfrm>
      </xdr:grpSpPr>
      <xdr:sp macro="" textlink="">
        <xdr:nvSpPr>
          <xdr:cNvPr id="134" name="Rectangle 587">
            <a:extLst>
              <a:ext uri="{FF2B5EF4-FFF2-40B4-BE49-F238E27FC236}">
                <a16:creationId xmlns:a16="http://schemas.microsoft.com/office/drawing/2014/main" id="{00000000-0008-0000-0100-000086000000}"/>
              </a:ext>
            </a:extLst>
          </xdr:cNvPr>
          <xdr:cNvSpPr>
            <a:spLocks noChangeArrowheads="1"/>
          </xdr:cNvSpPr>
        </xdr:nvSpPr>
        <xdr:spPr bwMode="auto">
          <a:xfrm>
            <a:off x="997" y="161"/>
            <a:ext cx="143" cy="111"/>
          </a:xfrm>
          <a:prstGeom prst="rect">
            <a:avLst/>
          </a:prstGeom>
          <a:gradFill rotWithShape="0">
            <a:gsLst>
              <a:gs pos="0">
                <a:srgbClr xmlns:mc="http://schemas.openxmlformats.org/markup-compatibility/2006" xmlns:a14="http://schemas.microsoft.com/office/drawing/2010/main" val="454545" mc:Ignorable="a14" a14:legacySpreadsheetColorIndex="55">
                  <a:gamma/>
                  <a:shade val="46275"/>
                  <a:invGamma/>
                </a:srgbClr>
              </a:gs>
              <a:gs pos="50000">
                <a:srgbClr xmlns:mc="http://schemas.openxmlformats.org/markup-compatibility/2006" xmlns:a14="http://schemas.microsoft.com/office/drawing/2010/main" val="969696" mc:Ignorable="a14" a14:legacySpreadsheetColorIndex="55"/>
              </a:gs>
              <a:gs pos="100000">
                <a:srgbClr xmlns:mc="http://schemas.openxmlformats.org/markup-compatibility/2006" xmlns:a14="http://schemas.microsoft.com/office/drawing/2010/main" val="454545" mc:Ignorable="a14" a14:legacySpreadsheetColorIndex="55">
                  <a:gamma/>
                  <a:shade val="46275"/>
                  <a:invGamma/>
                </a:srgbClr>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AutoShape 590">
            <a:extLst>
              <a:ext uri="{FF2B5EF4-FFF2-40B4-BE49-F238E27FC236}">
                <a16:creationId xmlns:a16="http://schemas.microsoft.com/office/drawing/2014/main" id="{00000000-0008-0000-0100-000087000000}"/>
              </a:ext>
            </a:extLst>
          </xdr:cNvPr>
          <xdr:cNvSpPr>
            <a:spLocks noChangeArrowheads="1"/>
          </xdr:cNvSpPr>
        </xdr:nvSpPr>
        <xdr:spPr bwMode="auto">
          <a:xfrm>
            <a:off x="999" y="134"/>
            <a:ext cx="141" cy="28"/>
          </a:xfrm>
          <a:prstGeom prst="triangle">
            <a:avLst>
              <a:gd name="adj" fmla="val 50000"/>
            </a:avLst>
          </a:prstGeom>
          <a:gradFill rotWithShape="1">
            <a:gsLst>
              <a:gs pos="0">
                <a:srgbClr xmlns:mc="http://schemas.openxmlformats.org/markup-compatibility/2006" xmlns:a14="http://schemas.microsoft.com/office/drawing/2010/main" val="454545" mc:Ignorable="a14" a14:legacySpreadsheetColorIndex="55">
                  <a:gamma/>
                  <a:shade val="46275"/>
                  <a:invGamma/>
                </a:srgbClr>
              </a:gs>
              <a:gs pos="50000">
                <a:srgbClr xmlns:mc="http://schemas.openxmlformats.org/markup-compatibility/2006" xmlns:a14="http://schemas.microsoft.com/office/drawing/2010/main" val="969696" mc:Ignorable="a14" a14:legacySpreadsheetColorIndex="55"/>
              </a:gs>
              <a:gs pos="100000">
                <a:srgbClr xmlns:mc="http://schemas.openxmlformats.org/markup-compatibility/2006" xmlns:a14="http://schemas.microsoft.com/office/drawing/2010/main" val="454545" mc:Ignorable="a14" a14:legacySpreadsheetColorIndex="55">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6</xdr:col>
      <xdr:colOff>152401</xdr:colOff>
      <xdr:row>5</xdr:row>
      <xdr:rowOff>50799</xdr:rowOff>
    </xdr:from>
    <xdr:to>
      <xdr:col>6</xdr:col>
      <xdr:colOff>317499</xdr:colOff>
      <xdr:row>7</xdr:row>
      <xdr:rowOff>105976</xdr:rowOff>
    </xdr:to>
    <xdr:cxnSp macro="">
      <xdr:nvCxnSpPr>
        <xdr:cNvPr id="136" name="Elbow Connector 135">
          <a:extLst>
            <a:ext uri="{FF2B5EF4-FFF2-40B4-BE49-F238E27FC236}">
              <a16:creationId xmlns:a16="http://schemas.microsoft.com/office/drawing/2014/main" id="{00000000-0008-0000-0100-000088000000}"/>
            </a:ext>
          </a:extLst>
        </xdr:cNvPr>
        <xdr:cNvCxnSpPr>
          <a:endCxn id="170" idx="2"/>
        </xdr:cNvCxnSpPr>
      </xdr:nvCxnSpPr>
      <xdr:spPr>
        <a:xfrm rot="16200000" flipH="1">
          <a:off x="3649061" y="757839"/>
          <a:ext cx="436177" cy="16509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431154</xdr:colOff>
      <xdr:row>6</xdr:row>
      <xdr:rowOff>136527</xdr:rowOff>
    </xdr:from>
    <xdr:to>
      <xdr:col>19</xdr:col>
      <xdr:colOff>531694</xdr:colOff>
      <xdr:row>9</xdr:row>
      <xdr:rowOff>19050</xdr:rowOff>
    </xdr:to>
    <xdr:cxnSp macro="">
      <xdr:nvCxnSpPr>
        <xdr:cNvPr id="137" name="Elbow Connector 136">
          <a:extLst>
            <a:ext uri="{FF2B5EF4-FFF2-40B4-BE49-F238E27FC236}">
              <a16:creationId xmlns:a16="http://schemas.microsoft.com/office/drawing/2014/main" id="{00000000-0008-0000-0100-000089000000}"/>
            </a:ext>
          </a:extLst>
        </xdr:cNvPr>
        <xdr:cNvCxnSpPr>
          <a:stCxn id="120" idx="0"/>
          <a:endCxn id="427" idx="2"/>
        </xdr:cNvCxnSpPr>
      </xdr:nvCxnSpPr>
      <xdr:spPr>
        <a:xfrm rot="5400000" flipH="1" flipV="1">
          <a:off x="11965929" y="793752"/>
          <a:ext cx="466723" cy="71014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122766</xdr:colOff>
      <xdr:row>5</xdr:row>
      <xdr:rowOff>48684</xdr:rowOff>
    </xdr:from>
    <xdr:to>
      <xdr:col>19</xdr:col>
      <xdr:colOff>227541</xdr:colOff>
      <xdr:row>6</xdr:row>
      <xdr:rowOff>119592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rot="16200000">
          <a:off x="13236574" y="1152339"/>
          <a:ext cx="267011" cy="104775"/>
          <a:chOff x="1247775" y="900113"/>
          <a:chExt cx="352426" cy="142875"/>
        </a:xfrm>
      </xdr:grpSpPr>
      <xdr:cxnSp macro="">
        <xdr:nvCxnSpPr>
          <xdr:cNvPr id="139" name="Straight Connector 138">
            <a:extLst>
              <a:ext uri="{FF2B5EF4-FFF2-40B4-BE49-F238E27FC236}">
                <a16:creationId xmlns:a16="http://schemas.microsoft.com/office/drawing/2014/main" id="{00000000-0008-0000-0100-00008B000000}"/>
              </a:ext>
            </a:extLst>
          </xdr:cNvPr>
          <xdr:cNvCxnSpPr/>
        </xdr:nvCxnSpPr>
        <xdr:spPr>
          <a:xfrm>
            <a:off x="1252538" y="1004887"/>
            <a:ext cx="123825"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40" name="Straight Connector 139">
            <a:extLst>
              <a:ext uri="{FF2B5EF4-FFF2-40B4-BE49-F238E27FC236}">
                <a16:creationId xmlns:a16="http://schemas.microsoft.com/office/drawing/2014/main" id="{00000000-0008-0000-0100-00008C000000}"/>
              </a:ext>
            </a:extLst>
          </xdr:cNvPr>
          <xdr:cNvCxnSpPr/>
        </xdr:nvCxnSpPr>
        <xdr:spPr>
          <a:xfrm>
            <a:off x="1247775" y="952500"/>
            <a:ext cx="123825" cy="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141" name="Oval 140">
            <a:extLst>
              <a:ext uri="{FF2B5EF4-FFF2-40B4-BE49-F238E27FC236}">
                <a16:creationId xmlns:a16="http://schemas.microsoft.com/office/drawing/2014/main" id="{00000000-0008-0000-0100-00008D000000}"/>
              </a:ext>
            </a:extLst>
          </xdr:cNvPr>
          <xdr:cNvSpPr/>
        </xdr:nvSpPr>
        <xdr:spPr>
          <a:xfrm>
            <a:off x="1462087" y="900113"/>
            <a:ext cx="138114" cy="142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2" name="Straight Connector 141">
            <a:extLst>
              <a:ext uri="{FF2B5EF4-FFF2-40B4-BE49-F238E27FC236}">
                <a16:creationId xmlns:a16="http://schemas.microsoft.com/office/drawing/2014/main" id="{00000000-0008-0000-0100-00008E000000}"/>
              </a:ext>
            </a:extLst>
          </xdr:cNvPr>
          <xdr:cNvCxnSpPr/>
        </xdr:nvCxnSpPr>
        <xdr:spPr>
          <a:xfrm flipH="1">
            <a:off x="1362076" y="976313"/>
            <a:ext cx="80962" cy="0"/>
          </a:xfrm>
          <a:prstGeom prst="lin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105834</xdr:colOff>
      <xdr:row>19</xdr:row>
      <xdr:rowOff>14646</xdr:rowOff>
    </xdr:from>
    <xdr:to>
      <xdr:col>12</xdr:col>
      <xdr:colOff>198011</xdr:colOff>
      <xdr:row>23</xdr:row>
      <xdr:rowOff>14714</xdr:rowOff>
    </xdr:to>
    <xdr:sp macro="" textlink="">
      <xdr:nvSpPr>
        <xdr:cNvPr id="143" name="Rectangle 209">
          <a:extLst>
            <a:ext uri="{FF2B5EF4-FFF2-40B4-BE49-F238E27FC236}">
              <a16:creationId xmlns:a16="http://schemas.microsoft.com/office/drawing/2014/main" id="{00000000-0008-0000-0100-00008F000000}"/>
            </a:ext>
          </a:extLst>
        </xdr:cNvPr>
        <xdr:cNvSpPr>
          <a:spLocks noChangeArrowheads="1"/>
        </xdr:cNvSpPr>
      </xdr:nvSpPr>
      <xdr:spPr bwMode="auto">
        <a:xfrm flipH="1">
          <a:off x="8157634" y="3325113"/>
          <a:ext cx="92177" cy="779001"/>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548250</xdr:colOff>
      <xdr:row>6</xdr:row>
      <xdr:rowOff>29463</xdr:rowOff>
    </xdr:from>
    <xdr:to>
      <xdr:col>6</xdr:col>
      <xdr:colOff>35198</xdr:colOff>
      <xdr:row>7</xdr:row>
      <xdr:rowOff>63499</xdr:rowOff>
    </xdr:to>
    <xdr:sp macro="" textlink="">
      <xdr:nvSpPr>
        <xdr:cNvPr id="144" name="Oval 143">
          <a:extLst>
            <a:ext uri="{FF2B5EF4-FFF2-40B4-BE49-F238E27FC236}">
              <a16:creationId xmlns:a16="http://schemas.microsoft.com/office/drawing/2014/main" id="{00000000-0008-0000-0100-000090000000}"/>
            </a:ext>
          </a:extLst>
        </xdr:cNvPr>
        <xdr:cNvSpPr/>
      </xdr:nvSpPr>
      <xdr:spPr>
        <a:xfrm>
          <a:off x="3452317" y="808396"/>
          <a:ext cx="215081" cy="228770"/>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1</a:t>
          </a:r>
        </a:p>
      </xdr:txBody>
    </xdr:sp>
    <xdr:clientData/>
  </xdr:twoCellAnchor>
  <xdr:twoCellAnchor>
    <xdr:from>
      <xdr:col>10</xdr:col>
      <xdr:colOff>730216</xdr:colOff>
      <xdr:row>6</xdr:row>
      <xdr:rowOff>183947</xdr:rowOff>
    </xdr:from>
    <xdr:to>
      <xdr:col>11</xdr:col>
      <xdr:colOff>210608</xdr:colOff>
      <xdr:row>8</xdr:row>
      <xdr:rowOff>12701</xdr:rowOff>
    </xdr:to>
    <xdr:sp macro="" textlink="">
      <xdr:nvSpPr>
        <xdr:cNvPr id="145" name="Oval 144">
          <a:extLst>
            <a:ext uri="{FF2B5EF4-FFF2-40B4-BE49-F238E27FC236}">
              <a16:creationId xmlns:a16="http://schemas.microsoft.com/office/drawing/2014/main" id="{00000000-0008-0000-0100-000091000000}"/>
            </a:ext>
          </a:extLst>
        </xdr:cNvPr>
        <xdr:cNvSpPr/>
      </xdr:nvSpPr>
      <xdr:spPr>
        <a:xfrm>
          <a:off x="7283416" y="962880"/>
          <a:ext cx="233925" cy="218221"/>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4</a:t>
          </a:r>
        </a:p>
        <a:p>
          <a:pPr algn="l"/>
          <a:endParaRPr lang="en-US" sz="1100"/>
        </a:p>
      </xdr:txBody>
    </xdr:sp>
    <xdr:clientData/>
  </xdr:twoCellAnchor>
  <xdr:twoCellAnchor>
    <xdr:from>
      <xdr:col>7</xdr:col>
      <xdr:colOff>780435</xdr:colOff>
      <xdr:row>8</xdr:row>
      <xdr:rowOff>91768</xdr:rowOff>
    </xdr:from>
    <xdr:to>
      <xdr:col>8</xdr:col>
      <xdr:colOff>127000</xdr:colOff>
      <xdr:row>9</xdr:row>
      <xdr:rowOff>122493</xdr:rowOff>
    </xdr:to>
    <xdr:sp macro="" textlink="">
      <xdr:nvSpPr>
        <xdr:cNvPr id="146" name="Oval 145">
          <a:extLst>
            <a:ext uri="{FF2B5EF4-FFF2-40B4-BE49-F238E27FC236}">
              <a16:creationId xmlns:a16="http://schemas.microsoft.com/office/drawing/2014/main" id="{00000000-0008-0000-0100-000092000000}"/>
            </a:ext>
          </a:extLst>
        </xdr:cNvPr>
        <xdr:cNvSpPr/>
      </xdr:nvSpPr>
      <xdr:spPr>
        <a:xfrm>
          <a:off x="5085735" y="1234768"/>
          <a:ext cx="210165" cy="221225"/>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2</a:t>
          </a:r>
        </a:p>
      </xdr:txBody>
    </xdr:sp>
    <xdr:clientData/>
  </xdr:twoCellAnchor>
  <xdr:twoCellAnchor>
    <xdr:from>
      <xdr:col>0</xdr:col>
      <xdr:colOff>190500</xdr:colOff>
      <xdr:row>5</xdr:row>
      <xdr:rowOff>130175</xdr:rowOff>
    </xdr:from>
    <xdr:to>
      <xdr:col>4</xdr:col>
      <xdr:colOff>142875</xdr:colOff>
      <xdr:row>27</xdr:row>
      <xdr:rowOff>180397</xdr:rowOff>
    </xdr:to>
    <xdr:sp macro="" textlink="">
      <xdr:nvSpPr>
        <xdr:cNvPr id="147" name="Rectangle 146">
          <a:extLst>
            <a:ext uri="{FF2B5EF4-FFF2-40B4-BE49-F238E27FC236}">
              <a16:creationId xmlns:a16="http://schemas.microsoft.com/office/drawing/2014/main" id="{00000000-0008-0000-0100-000093000000}"/>
            </a:ext>
          </a:extLst>
        </xdr:cNvPr>
        <xdr:cNvSpPr/>
      </xdr:nvSpPr>
      <xdr:spPr>
        <a:xfrm>
          <a:off x="190500" y="1118755"/>
          <a:ext cx="2247034" cy="417772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187322</xdr:colOff>
      <xdr:row>31</xdr:row>
      <xdr:rowOff>101600</xdr:rowOff>
    </xdr:from>
    <xdr:to>
      <xdr:col>5</xdr:col>
      <xdr:colOff>243415</xdr:colOff>
      <xdr:row>44</xdr:row>
      <xdr:rowOff>87842</xdr:rowOff>
    </xdr:to>
    <xdr:sp macro="" textlink="">
      <xdr:nvSpPr>
        <xdr:cNvPr id="149" name="Rectangle 148">
          <a:extLst>
            <a:ext uri="{FF2B5EF4-FFF2-40B4-BE49-F238E27FC236}">
              <a16:creationId xmlns:a16="http://schemas.microsoft.com/office/drawing/2014/main" id="{00000000-0008-0000-0100-000095000000}"/>
            </a:ext>
          </a:extLst>
        </xdr:cNvPr>
        <xdr:cNvSpPr/>
      </xdr:nvSpPr>
      <xdr:spPr>
        <a:xfrm>
          <a:off x="187322" y="5164667"/>
          <a:ext cx="2960160" cy="25177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338667</xdr:colOff>
      <xdr:row>5</xdr:row>
      <xdr:rowOff>74086</xdr:rowOff>
    </xdr:from>
    <xdr:to>
      <xdr:col>23</xdr:col>
      <xdr:colOff>419106</xdr:colOff>
      <xdr:row>7</xdr:row>
      <xdr:rowOff>186269</xdr:rowOff>
    </xdr:to>
    <xdr:grpSp>
      <xdr:nvGrpSpPr>
        <xdr:cNvPr id="159" name="Group 158">
          <a:extLst>
            <a:ext uri="{FF2B5EF4-FFF2-40B4-BE49-F238E27FC236}">
              <a16:creationId xmlns:a16="http://schemas.microsoft.com/office/drawing/2014/main" id="{00000000-0008-0000-0100-00009F000000}"/>
            </a:ext>
          </a:extLst>
        </xdr:cNvPr>
        <xdr:cNvGrpSpPr/>
      </xdr:nvGrpSpPr>
      <xdr:grpSpPr>
        <a:xfrm rot="16200000" flipH="1">
          <a:off x="15576802" y="1000437"/>
          <a:ext cx="504389" cy="696762"/>
          <a:chOff x="14337458" y="762000"/>
          <a:chExt cx="176893" cy="502655"/>
        </a:xfrm>
      </xdr:grpSpPr>
      <xdr:sp macro="" textlink="">
        <xdr:nvSpPr>
          <xdr:cNvPr id="153" name="Oval 327">
            <a:extLst>
              <a:ext uri="{FF2B5EF4-FFF2-40B4-BE49-F238E27FC236}">
                <a16:creationId xmlns:a16="http://schemas.microsoft.com/office/drawing/2014/main" id="{00000000-0008-0000-0100-000099000000}"/>
              </a:ext>
            </a:extLst>
          </xdr:cNvPr>
          <xdr:cNvSpPr>
            <a:spLocks noChangeArrowheads="1"/>
          </xdr:cNvSpPr>
        </xdr:nvSpPr>
        <xdr:spPr bwMode="auto">
          <a:xfrm>
            <a:off x="14337458" y="762000"/>
            <a:ext cx="171839" cy="78052"/>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Oval 329">
            <a:extLst>
              <a:ext uri="{FF2B5EF4-FFF2-40B4-BE49-F238E27FC236}">
                <a16:creationId xmlns:a16="http://schemas.microsoft.com/office/drawing/2014/main" id="{00000000-0008-0000-0100-00009B000000}"/>
              </a:ext>
            </a:extLst>
          </xdr:cNvPr>
          <xdr:cNvSpPr>
            <a:spLocks noChangeArrowheads="1"/>
          </xdr:cNvSpPr>
        </xdr:nvSpPr>
        <xdr:spPr bwMode="auto">
          <a:xfrm>
            <a:off x="14337458" y="1186603"/>
            <a:ext cx="171839" cy="78052"/>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Rectangle 330">
            <a:extLst>
              <a:ext uri="{FF2B5EF4-FFF2-40B4-BE49-F238E27FC236}">
                <a16:creationId xmlns:a16="http://schemas.microsoft.com/office/drawing/2014/main" id="{00000000-0008-0000-0100-00009C000000}"/>
              </a:ext>
            </a:extLst>
          </xdr:cNvPr>
          <xdr:cNvSpPr>
            <a:spLocks noChangeArrowheads="1"/>
          </xdr:cNvSpPr>
        </xdr:nvSpPr>
        <xdr:spPr bwMode="auto">
          <a:xfrm>
            <a:off x="14337458" y="799465"/>
            <a:ext cx="176893" cy="433970"/>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23</xdr:col>
      <xdr:colOff>40747</xdr:colOff>
      <xdr:row>4</xdr:row>
      <xdr:rowOff>92077</xdr:rowOff>
    </xdr:from>
    <xdr:to>
      <xdr:col>23</xdr:col>
      <xdr:colOff>511170</xdr:colOff>
      <xdr:row>5</xdr:row>
      <xdr:rowOff>74086</xdr:rowOff>
    </xdr:to>
    <xdr:cxnSp macro="">
      <xdr:nvCxnSpPr>
        <xdr:cNvPr id="160" name="Elbow Connector 159">
          <a:extLst>
            <a:ext uri="{FF2B5EF4-FFF2-40B4-BE49-F238E27FC236}">
              <a16:creationId xmlns:a16="http://schemas.microsoft.com/office/drawing/2014/main" id="{00000000-0008-0000-0100-0000A0000000}"/>
            </a:ext>
          </a:extLst>
        </xdr:cNvPr>
        <xdr:cNvCxnSpPr>
          <a:stCxn id="156" idx="1"/>
        </xdr:cNvCxnSpPr>
      </xdr:nvCxnSpPr>
      <xdr:spPr>
        <a:xfrm rot="5400000" flipH="1" flipV="1">
          <a:off x="14995788" y="334703"/>
          <a:ext cx="176742" cy="47042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419106</xdr:colOff>
      <xdr:row>6</xdr:row>
      <xdr:rowOff>123012</xdr:rowOff>
    </xdr:from>
    <xdr:to>
      <xdr:col>24</xdr:col>
      <xdr:colOff>152400</xdr:colOff>
      <xdr:row>8</xdr:row>
      <xdr:rowOff>92075</xdr:rowOff>
    </xdr:to>
    <xdr:cxnSp macro="">
      <xdr:nvCxnSpPr>
        <xdr:cNvPr id="165" name="Elbow Connector 164">
          <a:extLst>
            <a:ext uri="{FF2B5EF4-FFF2-40B4-BE49-F238E27FC236}">
              <a16:creationId xmlns:a16="http://schemas.microsoft.com/office/drawing/2014/main" id="{00000000-0008-0000-0100-0000A5000000}"/>
            </a:ext>
          </a:extLst>
        </xdr:cNvPr>
        <xdr:cNvCxnSpPr>
          <a:stCxn id="155" idx="4"/>
        </xdr:cNvCxnSpPr>
      </xdr:nvCxnSpPr>
      <xdr:spPr>
        <a:xfrm>
          <a:off x="15227306" y="901945"/>
          <a:ext cx="342894" cy="35853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78375</xdr:colOff>
      <xdr:row>7</xdr:row>
      <xdr:rowOff>186269</xdr:rowOff>
    </xdr:from>
    <xdr:to>
      <xdr:col>24</xdr:col>
      <xdr:colOff>3</xdr:colOff>
      <xdr:row>11</xdr:row>
      <xdr:rowOff>42336</xdr:rowOff>
    </xdr:to>
    <xdr:cxnSp macro="">
      <xdr:nvCxnSpPr>
        <xdr:cNvPr id="168" name="Elbow Connector 167">
          <a:extLst>
            <a:ext uri="{FF2B5EF4-FFF2-40B4-BE49-F238E27FC236}">
              <a16:creationId xmlns:a16="http://schemas.microsoft.com/office/drawing/2014/main" id="{00000000-0008-0000-0100-0000A8000000}"/>
            </a:ext>
          </a:extLst>
        </xdr:cNvPr>
        <xdr:cNvCxnSpPr>
          <a:stCxn id="156" idx="3"/>
        </xdr:cNvCxnSpPr>
      </xdr:nvCxnSpPr>
      <xdr:spPr>
        <a:xfrm rot="16200000" flipH="1">
          <a:off x="15461222" y="1211822"/>
          <a:ext cx="635000" cy="53122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511176</xdr:colOff>
      <xdr:row>7</xdr:row>
      <xdr:rowOff>73025</xdr:rowOff>
    </xdr:from>
    <xdr:to>
      <xdr:col>19</xdr:col>
      <xdr:colOff>33868</xdr:colOff>
      <xdr:row>8</xdr:row>
      <xdr:rowOff>67733</xdr:rowOff>
    </xdr:to>
    <xdr:sp macro="" textlink="">
      <xdr:nvSpPr>
        <xdr:cNvPr id="176" name="Oval 175">
          <a:extLst>
            <a:ext uri="{FF2B5EF4-FFF2-40B4-BE49-F238E27FC236}">
              <a16:creationId xmlns:a16="http://schemas.microsoft.com/office/drawing/2014/main" id="{00000000-0008-0000-0100-0000B0000000}"/>
            </a:ext>
          </a:extLst>
        </xdr:cNvPr>
        <xdr:cNvSpPr/>
      </xdr:nvSpPr>
      <xdr:spPr>
        <a:xfrm>
          <a:off x="11983509" y="1046692"/>
          <a:ext cx="208492" cy="189441"/>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6</a:t>
          </a:r>
        </a:p>
      </xdr:txBody>
    </xdr:sp>
    <xdr:clientData/>
  </xdr:twoCellAnchor>
  <xdr:twoCellAnchor>
    <xdr:from>
      <xdr:col>21</xdr:col>
      <xdr:colOff>819150</xdr:colOff>
      <xdr:row>5</xdr:row>
      <xdr:rowOff>19050</xdr:rowOff>
    </xdr:from>
    <xdr:to>
      <xdr:col>22</xdr:col>
      <xdr:colOff>203815</xdr:colOff>
      <xdr:row>6</xdr:row>
      <xdr:rowOff>49776</xdr:rowOff>
    </xdr:to>
    <xdr:sp macro="" textlink="">
      <xdr:nvSpPr>
        <xdr:cNvPr id="177" name="Oval 176">
          <a:extLst>
            <a:ext uri="{FF2B5EF4-FFF2-40B4-BE49-F238E27FC236}">
              <a16:creationId xmlns:a16="http://schemas.microsoft.com/office/drawing/2014/main" id="{00000000-0008-0000-0100-0000B1000000}"/>
            </a:ext>
          </a:extLst>
        </xdr:cNvPr>
        <xdr:cNvSpPr/>
      </xdr:nvSpPr>
      <xdr:spPr>
        <a:xfrm>
          <a:off x="14116050" y="590550"/>
          <a:ext cx="210165" cy="221226"/>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7</a:t>
          </a:r>
        </a:p>
        <a:p>
          <a:pPr algn="l"/>
          <a:endParaRPr lang="en-US" sz="1100"/>
        </a:p>
      </xdr:txBody>
    </xdr:sp>
    <xdr:clientData/>
  </xdr:twoCellAnchor>
  <xdr:twoCellAnchor>
    <xdr:from>
      <xdr:col>22</xdr:col>
      <xdr:colOff>606425</xdr:colOff>
      <xdr:row>3</xdr:row>
      <xdr:rowOff>1</xdr:rowOff>
    </xdr:from>
    <xdr:to>
      <xdr:col>23</xdr:col>
      <xdr:colOff>186267</xdr:colOff>
      <xdr:row>4</xdr:row>
      <xdr:rowOff>8467</xdr:rowOff>
    </xdr:to>
    <xdr:sp macro="" textlink="">
      <xdr:nvSpPr>
        <xdr:cNvPr id="178" name="Oval 177">
          <a:extLst>
            <a:ext uri="{FF2B5EF4-FFF2-40B4-BE49-F238E27FC236}">
              <a16:creationId xmlns:a16="http://schemas.microsoft.com/office/drawing/2014/main" id="{00000000-0008-0000-0100-0000B2000000}"/>
            </a:ext>
          </a:extLst>
        </xdr:cNvPr>
        <xdr:cNvSpPr/>
      </xdr:nvSpPr>
      <xdr:spPr>
        <a:xfrm>
          <a:off x="14728825" y="194734"/>
          <a:ext cx="189442" cy="203200"/>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8</a:t>
          </a:r>
        </a:p>
        <a:p>
          <a:pPr algn="l"/>
          <a:endParaRPr lang="en-US" sz="1100"/>
        </a:p>
        <a:p>
          <a:pPr algn="l"/>
          <a:endParaRPr lang="en-US" sz="1100"/>
        </a:p>
      </xdr:txBody>
    </xdr:sp>
    <xdr:clientData/>
  </xdr:twoCellAnchor>
  <xdr:twoCellAnchor>
    <xdr:from>
      <xdr:col>6</xdr:col>
      <xdr:colOff>317498</xdr:colOff>
      <xdr:row>7</xdr:row>
      <xdr:rowOff>59553</xdr:rowOff>
    </xdr:from>
    <xdr:to>
      <xdr:col>7</xdr:col>
      <xdr:colOff>558799</xdr:colOff>
      <xdr:row>7</xdr:row>
      <xdr:rowOff>152400</xdr:rowOff>
    </xdr:to>
    <xdr:sp macro="" textlink="">
      <xdr:nvSpPr>
        <xdr:cNvPr id="170" name="Rectangle 330">
          <a:extLst>
            <a:ext uri="{FF2B5EF4-FFF2-40B4-BE49-F238E27FC236}">
              <a16:creationId xmlns:a16="http://schemas.microsoft.com/office/drawing/2014/main" id="{00000000-0008-0000-0100-0000AA000000}"/>
            </a:ext>
          </a:extLst>
        </xdr:cNvPr>
        <xdr:cNvSpPr>
          <a:spLocks noChangeArrowheads="1"/>
        </xdr:cNvSpPr>
      </xdr:nvSpPr>
      <xdr:spPr bwMode="auto">
        <a:xfrm rot="5400000">
          <a:off x="4360475" y="601276"/>
          <a:ext cx="92847" cy="914401"/>
        </a:xfrm>
        <a:prstGeom prst="rect">
          <a:avLst/>
        </a:prstGeom>
        <a:gradFill flip="none" rotWithShape="1">
          <a:gsLst>
            <a:gs pos="0">
              <a:srgbClr val="FFFFFF">
                <a:gamma/>
                <a:shade val="46275"/>
                <a:invGamma/>
              </a:srgbClr>
            </a:gs>
            <a:gs pos="50000">
              <a:srgbClr val="FFFFFF"/>
            </a:gs>
            <a:gs pos="100000">
              <a:srgbClr val="FFFFFF">
                <a:gamma/>
                <a:shade val="46275"/>
                <a:invGamma/>
              </a:srgbClr>
            </a:gs>
          </a:gsLst>
          <a:lin ang="0" scaled="1"/>
          <a:tileRect/>
        </a:gradFill>
        <a:ln w="9525">
          <a:solidFill>
            <a:srgbClr xmlns:mc="http://schemas.openxmlformats.org/markup-compatibility/2006" xmlns:a14="http://schemas.microsoft.com/office/drawing/2010/main" val="000000" mc:Ignorable="a14" a14:legacySpreadsheetColorIndex="8"/>
          </a:solidFill>
          <a:miter lim="800000"/>
          <a:headEnd/>
          <a:tailEnd/>
        </a:ln>
        <a:effectLst/>
      </xdr:spPr>
    </xdr:sp>
    <xdr:clientData/>
  </xdr:twoCellAnchor>
  <xdr:twoCellAnchor>
    <xdr:from>
      <xdr:col>7</xdr:col>
      <xdr:colOff>558799</xdr:colOff>
      <xdr:row>7</xdr:row>
      <xdr:rowOff>105977</xdr:rowOff>
    </xdr:from>
    <xdr:to>
      <xdr:col>8</xdr:col>
      <xdr:colOff>0</xdr:colOff>
      <xdr:row>13</xdr:row>
      <xdr:rowOff>185908</xdr:rowOff>
    </xdr:to>
    <xdr:cxnSp macro="">
      <xdr:nvCxnSpPr>
        <xdr:cNvPr id="174" name="Elbow Connector 173">
          <a:extLst>
            <a:ext uri="{FF2B5EF4-FFF2-40B4-BE49-F238E27FC236}">
              <a16:creationId xmlns:a16="http://schemas.microsoft.com/office/drawing/2014/main" id="{00000000-0008-0000-0100-0000AE000000}"/>
            </a:ext>
          </a:extLst>
        </xdr:cNvPr>
        <xdr:cNvCxnSpPr>
          <a:stCxn id="170" idx="0"/>
          <a:endCxn id="380" idx="0"/>
        </xdr:cNvCxnSpPr>
      </xdr:nvCxnSpPr>
      <xdr:spPr>
        <a:xfrm>
          <a:off x="4864099" y="1058477"/>
          <a:ext cx="304801" cy="1222931"/>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28575</xdr:colOff>
      <xdr:row>6</xdr:row>
      <xdr:rowOff>9526</xdr:rowOff>
    </xdr:from>
    <xdr:to>
      <xdr:col>12</xdr:col>
      <xdr:colOff>600075</xdr:colOff>
      <xdr:row>7</xdr:row>
      <xdr:rowOff>47626</xdr:rowOff>
    </xdr:to>
    <xdr:grpSp>
      <xdr:nvGrpSpPr>
        <xdr:cNvPr id="183" name="Group 91">
          <a:extLst>
            <a:ext uri="{FF2B5EF4-FFF2-40B4-BE49-F238E27FC236}">
              <a16:creationId xmlns:a16="http://schemas.microsoft.com/office/drawing/2014/main" id="{00000000-0008-0000-0100-0000B7000000}"/>
            </a:ext>
          </a:extLst>
        </xdr:cNvPr>
        <xdr:cNvGrpSpPr>
          <a:grpSpLocks/>
        </xdr:cNvGrpSpPr>
      </xdr:nvGrpSpPr>
      <xdr:grpSpPr bwMode="auto">
        <a:xfrm flipH="1">
          <a:off x="8475009" y="1228166"/>
          <a:ext cx="571500" cy="234203"/>
          <a:chOff x="982" y="878"/>
          <a:chExt cx="215" cy="70"/>
        </a:xfrm>
      </xdr:grpSpPr>
      <xdr:grpSp>
        <xdr:nvGrpSpPr>
          <xdr:cNvPr id="184" name="Group 92">
            <a:extLst>
              <a:ext uri="{FF2B5EF4-FFF2-40B4-BE49-F238E27FC236}">
                <a16:creationId xmlns:a16="http://schemas.microsoft.com/office/drawing/2014/main" id="{00000000-0008-0000-0100-0000B8000000}"/>
              </a:ext>
            </a:extLst>
          </xdr:cNvPr>
          <xdr:cNvGrpSpPr>
            <a:grpSpLocks/>
          </xdr:cNvGrpSpPr>
        </xdr:nvGrpSpPr>
        <xdr:grpSpPr bwMode="auto">
          <a:xfrm>
            <a:off x="982" y="878"/>
            <a:ext cx="186" cy="70"/>
            <a:chOff x="1035" y="1155"/>
            <a:chExt cx="186" cy="70"/>
          </a:xfrm>
        </xdr:grpSpPr>
        <xdr:grpSp>
          <xdr:nvGrpSpPr>
            <xdr:cNvPr id="186" name="Group 93">
              <a:extLst>
                <a:ext uri="{FF2B5EF4-FFF2-40B4-BE49-F238E27FC236}">
                  <a16:creationId xmlns:a16="http://schemas.microsoft.com/office/drawing/2014/main" id="{00000000-0008-0000-0100-0000BA000000}"/>
                </a:ext>
              </a:extLst>
            </xdr:cNvPr>
            <xdr:cNvGrpSpPr>
              <a:grpSpLocks/>
            </xdr:cNvGrpSpPr>
          </xdr:nvGrpSpPr>
          <xdr:grpSpPr bwMode="auto">
            <a:xfrm>
              <a:off x="1039" y="1155"/>
              <a:ext cx="179" cy="8"/>
              <a:chOff x="1039" y="1155"/>
              <a:chExt cx="179" cy="8"/>
            </a:xfrm>
          </xdr:grpSpPr>
          <xdr:grpSp>
            <xdr:nvGrpSpPr>
              <xdr:cNvPr id="202" name="Group 94">
                <a:extLst>
                  <a:ext uri="{FF2B5EF4-FFF2-40B4-BE49-F238E27FC236}">
                    <a16:creationId xmlns:a16="http://schemas.microsoft.com/office/drawing/2014/main" id="{00000000-0008-0000-0100-0000CA000000}"/>
                  </a:ext>
                </a:extLst>
              </xdr:cNvPr>
              <xdr:cNvGrpSpPr>
                <a:grpSpLocks/>
              </xdr:cNvGrpSpPr>
            </xdr:nvGrpSpPr>
            <xdr:grpSpPr bwMode="auto">
              <a:xfrm>
                <a:off x="1171" y="1156"/>
                <a:ext cx="47" cy="7"/>
                <a:chOff x="962" y="700"/>
                <a:chExt cx="47" cy="7"/>
              </a:xfrm>
            </xdr:grpSpPr>
            <xdr:grpSp>
              <xdr:nvGrpSpPr>
                <xdr:cNvPr id="234" name="Group 95">
                  <a:extLst>
                    <a:ext uri="{FF2B5EF4-FFF2-40B4-BE49-F238E27FC236}">
                      <a16:creationId xmlns:a16="http://schemas.microsoft.com/office/drawing/2014/main" id="{00000000-0008-0000-0100-0000EA000000}"/>
                    </a:ext>
                  </a:extLst>
                </xdr:cNvPr>
                <xdr:cNvGrpSpPr>
                  <a:grpSpLocks/>
                </xdr:cNvGrpSpPr>
              </xdr:nvGrpSpPr>
              <xdr:grpSpPr bwMode="auto">
                <a:xfrm>
                  <a:off x="962" y="700"/>
                  <a:ext cx="11" cy="7"/>
                  <a:chOff x="991" y="691"/>
                  <a:chExt cx="11" cy="7"/>
                </a:xfrm>
              </xdr:grpSpPr>
              <xdr:sp macro="" textlink="">
                <xdr:nvSpPr>
                  <xdr:cNvPr id="244" name="Line 96">
                    <a:extLst>
                      <a:ext uri="{FF2B5EF4-FFF2-40B4-BE49-F238E27FC236}">
                        <a16:creationId xmlns:a16="http://schemas.microsoft.com/office/drawing/2014/main" id="{00000000-0008-0000-0100-0000F4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5" name="Line 97">
                    <a:extLst>
                      <a:ext uri="{FF2B5EF4-FFF2-40B4-BE49-F238E27FC236}">
                        <a16:creationId xmlns:a16="http://schemas.microsoft.com/office/drawing/2014/main" id="{00000000-0008-0000-0100-0000F5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35" name="Group 98">
                  <a:extLst>
                    <a:ext uri="{FF2B5EF4-FFF2-40B4-BE49-F238E27FC236}">
                      <a16:creationId xmlns:a16="http://schemas.microsoft.com/office/drawing/2014/main" id="{00000000-0008-0000-0100-0000EB000000}"/>
                    </a:ext>
                  </a:extLst>
                </xdr:cNvPr>
                <xdr:cNvGrpSpPr>
                  <a:grpSpLocks/>
                </xdr:cNvGrpSpPr>
              </xdr:nvGrpSpPr>
              <xdr:grpSpPr bwMode="auto">
                <a:xfrm>
                  <a:off x="974" y="700"/>
                  <a:ext cx="11" cy="7"/>
                  <a:chOff x="991" y="691"/>
                  <a:chExt cx="11" cy="7"/>
                </a:xfrm>
              </xdr:grpSpPr>
              <xdr:sp macro="" textlink="">
                <xdr:nvSpPr>
                  <xdr:cNvPr id="242" name="Line 99">
                    <a:extLst>
                      <a:ext uri="{FF2B5EF4-FFF2-40B4-BE49-F238E27FC236}">
                        <a16:creationId xmlns:a16="http://schemas.microsoft.com/office/drawing/2014/main" id="{00000000-0008-0000-0100-0000F2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3" name="Line 100">
                    <a:extLst>
                      <a:ext uri="{FF2B5EF4-FFF2-40B4-BE49-F238E27FC236}">
                        <a16:creationId xmlns:a16="http://schemas.microsoft.com/office/drawing/2014/main" id="{00000000-0008-0000-0100-0000F3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36" name="Group 101">
                  <a:extLst>
                    <a:ext uri="{FF2B5EF4-FFF2-40B4-BE49-F238E27FC236}">
                      <a16:creationId xmlns:a16="http://schemas.microsoft.com/office/drawing/2014/main" id="{00000000-0008-0000-0100-0000EC000000}"/>
                    </a:ext>
                  </a:extLst>
                </xdr:cNvPr>
                <xdr:cNvGrpSpPr>
                  <a:grpSpLocks/>
                </xdr:cNvGrpSpPr>
              </xdr:nvGrpSpPr>
              <xdr:grpSpPr bwMode="auto">
                <a:xfrm>
                  <a:off x="986" y="700"/>
                  <a:ext cx="11" cy="7"/>
                  <a:chOff x="991" y="691"/>
                  <a:chExt cx="11" cy="7"/>
                </a:xfrm>
              </xdr:grpSpPr>
              <xdr:sp macro="" textlink="">
                <xdr:nvSpPr>
                  <xdr:cNvPr id="240" name="Line 102">
                    <a:extLst>
                      <a:ext uri="{FF2B5EF4-FFF2-40B4-BE49-F238E27FC236}">
                        <a16:creationId xmlns:a16="http://schemas.microsoft.com/office/drawing/2014/main" id="{00000000-0008-0000-0100-0000F0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1" name="Line 103">
                    <a:extLst>
                      <a:ext uri="{FF2B5EF4-FFF2-40B4-BE49-F238E27FC236}">
                        <a16:creationId xmlns:a16="http://schemas.microsoft.com/office/drawing/2014/main" id="{00000000-0008-0000-0100-0000F1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37" name="Group 104">
                  <a:extLst>
                    <a:ext uri="{FF2B5EF4-FFF2-40B4-BE49-F238E27FC236}">
                      <a16:creationId xmlns:a16="http://schemas.microsoft.com/office/drawing/2014/main" id="{00000000-0008-0000-0100-0000ED000000}"/>
                    </a:ext>
                  </a:extLst>
                </xdr:cNvPr>
                <xdr:cNvGrpSpPr>
                  <a:grpSpLocks/>
                </xdr:cNvGrpSpPr>
              </xdr:nvGrpSpPr>
              <xdr:grpSpPr bwMode="auto">
                <a:xfrm>
                  <a:off x="998" y="700"/>
                  <a:ext cx="11" cy="7"/>
                  <a:chOff x="991" y="691"/>
                  <a:chExt cx="11" cy="7"/>
                </a:xfrm>
              </xdr:grpSpPr>
              <xdr:sp macro="" textlink="">
                <xdr:nvSpPr>
                  <xdr:cNvPr id="238" name="Line 105">
                    <a:extLst>
                      <a:ext uri="{FF2B5EF4-FFF2-40B4-BE49-F238E27FC236}">
                        <a16:creationId xmlns:a16="http://schemas.microsoft.com/office/drawing/2014/main" id="{00000000-0008-0000-0100-0000EE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9" name="Line 106">
                    <a:extLst>
                      <a:ext uri="{FF2B5EF4-FFF2-40B4-BE49-F238E27FC236}">
                        <a16:creationId xmlns:a16="http://schemas.microsoft.com/office/drawing/2014/main" id="{00000000-0008-0000-0100-0000EF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203" name="Group 202">
                <a:extLst>
                  <a:ext uri="{FF2B5EF4-FFF2-40B4-BE49-F238E27FC236}">
                    <a16:creationId xmlns:a16="http://schemas.microsoft.com/office/drawing/2014/main" id="{00000000-0008-0000-0100-0000CB000000}"/>
                  </a:ext>
                </a:extLst>
              </xdr:cNvPr>
              <xdr:cNvGrpSpPr>
                <a:grpSpLocks/>
              </xdr:cNvGrpSpPr>
            </xdr:nvGrpSpPr>
            <xdr:grpSpPr bwMode="auto">
              <a:xfrm>
                <a:off x="1122" y="1156"/>
                <a:ext cx="47" cy="7"/>
                <a:chOff x="962" y="700"/>
                <a:chExt cx="47" cy="7"/>
              </a:xfrm>
            </xdr:grpSpPr>
            <xdr:grpSp>
              <xdr:nvGrpSpPr>
                <xdr:cNvPr id="222" name="Group 108">
                  <a:extLst>
                    <a:ext uri="{FF2B5EF4-FFF2-40B4-BE49-F238E27FC236}">
                      <a16:creationId xmlns:a16="http://schemas.microsoft.com/office/drawing/2014/main" id="{00000000-0008-0000-0100-0000DE000000}"/>
                    </a:ext>
                  </a:extLst>
                </xdr:cNvPr>
                <xdr:cNvGrpSpPr>
                  <a:grpSpLocks/>
                </xdr:cNvGrpSpPr>
              </xdr:nvGrpSpPr>
              <xdr:grpSpPr bwMode="auto">
                <a:xfrm>
                  <a:off x="962" y="700"/>
                  <a:ext cx="11" cy="7"/>
                  <a:chOff x="991" y="691"/>
                  <a:chExt cx="11" cy="7"/>
                </a:xfrm>
              </xdr:grpSpPr>
              <xdr:sp macro="" textlink="">
                <xdr:nvSpPr>
                  <xdr:cNvPr id="232" name="Line 109">
                    <a:extLst>
                      <a:ext uri="{FF2B5EF4-FFF2-40B4-BE49-F238E27FC236}">
                        <a16:creationId xmlns:a16="http://schemas.microsoft.com/office/drawing/2014/main" id="{00000000-0008-0000-0100-0000E8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3" name="Line 110">
                    <a:extLst>
                      <a:ext uri="{FF2B5EF4-FFF2-40B4-BE49-F238E27FC236}">
                        <a16:creationId xmlns:a16="http://schemas.microsoft.com/office/drawing/2014/main" id="{00000000-0008-0000-0100-0000E9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23" name="Group 111">
                  <a:extLst>
                    <a:ext uri="{FF2B5EF4-FFF2-40B4-BE49-F238E27FC236}">
                      <a16:creationId xmlns:a16="http://schemas.microsoft.com/office/drawing/2014/main" id="{00000000-0008-0000-0100-0000DF000000}"/>
                    </a:ext>
                  </a:extLst>
                </xdr:cNvPr>
                <xdr:cNvGrpSpPr>
                  <a:grpSpLocks/>
                </xdr:cNvGrpSpPr>
              </xdr:nvGrpSpPr>
              <xdr:grpSpPr bwMode="auto">
                <a:xfrm>
                  <a:off x="974" y="700"/>
                  <a:ext cx="11" cy="7"/>
                  <a:chOff x="991" y="691"/>
                  <a:chExt cx="11" cy="7"/>
                </a:xfrm>
              </xdr:grpSpPr>
              <xdr:sp macro="" textlink="">
                <xdr:nvSpPr>
                  <xdr:cNvPr id="230" name="Line 112">
                    <a:extLst>
                      <a:ext uri="{FF2B5EF4-FFF2-40B4-BE49-F238E27FC236}">
                        <a16:creationId xmlns:a16="http://schemas.microsoft.com/office/drawing/2014/main" id="{00000000-0008-0000-0100-0000E6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1" name="Line 113">
                    <a:extLst>
                      <a:ext uri="{FF2B5EF4-FFF2-40B4-BE49-F238E27FC236}">
                        <a16:creationId xmlns:a16="http://schemas.microsoft.com/office/drawing/2014/main" id="{00000000-0008-0000-0100-0000E7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24" name="Group 114">
                  <a:extLst>
                    <a:ext uri="{FF2B5EF4-FFF2-40B4-BE49-F238E27FC236}">
                      <a16:creationId xmlns:a16="http://schemas.microsoft.com/office/drawing/2014/main" id="{00000000-0008-0000-0100-0000E0000000}"/>
                    </a:ext>
                  </a:extLst>
                </xdr:cNvPr>
                <xdr:cNvGrpSpPr>
                  <a:grpSpLocks/>
                </xdr:cNvGrpSpPr>
              </xdr:nvGrpSpPr>
              <xdr:grpSpPr bwMode="auto">
                <a:xfrm>
                  <a:off x="986" y="700"/>
                  <a:ext cx="11" cy="7"/>
                  <a:chOff x="991" y="691"/>
                  <a:chExt cx="11" cy="7"/>
                </a:xfrm>
              </xdr:grpSpPr>
              <xdr:sp macro="" textlink="">
                <xdr:nvSpPr>
                  <xdr:cNvPr id="228" name="Line 115">
                    <a:extLst>
                      <a:ext uri="{FF2B5EF4-FFF2-40B4-BE49-F238E27FC236}">
                        <a16:creationId xmlns:a16="http://schemas.microsoft.com/office/drawing/2014/main" id="{00000000-0008-0000-0100-0000E4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9" name="Line 116">
                    <a:extLst>
                      <a:ext uri="{FF2B5EF4-FFF2-40B4-BE49-F238E27FC236}">
                        <a16:creationId xmlns:a16="http://schemas.microsoft.com/office/drawing/2014/main" id="{00000000-0008-0000-0100-0000E5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25" name="Group 117">
                  <a:extLst>
                    <a:ext uri="{FF2B5EF4-FFF2-40B4-BE49-F238E27FC236}">
                      <a16:creationId xmlns:a16="http://schemas.microsoft.com/office/drawing/2014/main" id="{00000000-0008-0000-0100-0000E1000000}"/>
                    </a:ext>
                  </a:extLst>
                </xdr:cNvPr>
                <xdr:cNvGrpSpPr>
                  <a:grpSpLocks/>
                </xdr:cNvGrpSpPr>
              </xdr:nvGrpSpPr>
              <xdr:grpSpPr bwMode="auto">
                <a:xfrm>
                  <a:off x="998" y="700"/>
                  <a:ext cx="11" cy="7"/>
                  <a:chOff x="991" y="691"/>
                  <a:chExt cx="11" cy="7"/>
                </a:xfrm>
              </xdr:grpSpPr>
              <xdr:sp macro="" textlink="">
                <xdr:nvSpPr>
                  <xdr:cNvPr id="226" name="Line 118">
                    <a:extLst>
                      <a:ext uri="{FF2B5EF4-FFF2-40B4-BE49-F238E27FC236}">
                        <a16:creationId xmlns:a16="http://schemas.microsoft.com/office/drawing/2014/main" id="{00000000-0008-0000-0100-0000E2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7" name="Line 119">
                    <a:extLst>
                      <a:ext uri="{FF2B5EF4-FFF2-40B4-BE49-F238E27FC236}">
                        <a16:creationId xmlns:a16="http://schemas.microsoft.com/office/drawing/2014/main" id="{00000000-0008-0000-0100-0000E3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204" name="Group 120">
                <a:extLst>
                  <a:ext uri="{FF2B5EF4-FFF2-40B4-BE49-F238E27FC236}">
                    <a16:creationId xmlns:a16="http://schemas.microsoft.com/office/drawing/2014/main" id="{00000000-0008-0000-0100-0000CC000000}"/>
                  </a:ext>
                </a:extLst>
              </xdr:cNvPr>
              <xdr:cNvGrpSpPr>
                <a:grpSpLocks/>
              </xdr:cNvGrpSpPr>
            </xdr:nvGrpSpPr>
            <xdr:grpSpPr bwMode="auto">
              <a:xfrm>
                <a:off x="1039" y="1155"/>
                <a:ext cx="66" cy="7"/>
                <a:chOff x="1039" y="1155"/>
                <a:chExt cx="66" cy="7"/>
              </a:xfrm>
            </xdr:grpSpPr>
            <xdr:grpSp>
              <xdr:nvGrpSpPr>
                <xdr:cNvPr id="206" name="Group 121">
                  <a:extLst>
                    <a:ext uri="{FF2B5EF4-FFF2-40B4-BE49-F238E27FC236}">
                      <a16:creationId xmlns:a16="http://schemas.microsoft.com/office/drawing/2014/main" id="{00000000-0008-0000-0100-0000CE000000}"/>
                    </a:ext>
                  </a:extLst>
                </xdr:cNvPr>
                <xdr:cNvGrpSpPr>
                  <a:grpSpLocks/>
                </xdr:cNvGrpSpPr>
              </xdr:nvGrpSpPr>
              <xdr:grpSpPr bwMode="auto">
                <a:xfrm>
                  <a:off x="1039" y="1155"/>
                  <a:ext cx="11" cy="7"/>
                  <a:chOff x="991" y="691"/>
                  <a:chExt cx="11" cy="7"/>
                </a:xfrm>
              </xdr:grpSpPr>
              <xdr:sp macro="" textlink="">
                <xdr:nvSpPr>
                  <xdr:cNvPr id="220" name="Line 122">
                    <a:extLst>
                      <a:ext uri="{FF2B5EF4-FFF2-40B4-BE49-F238E27FC236}">
                        <a16:creationId xmlns:a16="http://schemas.microsoft.com/office/drawing/2014/main" id="{00000000-0008-0000-0100-0000DC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1" name="Line 123">
                    <a:extLst>
                      <a:ext uri="{FF2B5EF4-FFF2-40B4-BE49-F238E27FC236}">
                        <a16:creationId xmlns:a16="http://schemas.microsoft.com/office/drawing/2014/main" id="{00000000-0008-0000-0100-0000DD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07" name="Group 124">
                  <a:extLst>
                    <a:ext uri="{FF2B5EF4-FFF2-40B4-BE49-F238E27FC236}">
                      <a16:creationId xmlns:a16="http://schemas.microsoft.com/office/drawing/2014/main" id="{00000000-0008-0000-0100-0000CF000000}"/>
                    </a:ext>
                  </a:extLst>
                </xdr:cNvPr>
                <xdr:cNvGrpSpPr>
                  <a:grpSpLocks/>
                </xdr:cNvGrpSpPr>
              </xdr:nvGrpSpPr>
              <xdr:grpSpPr bwMode="auto">
                <a:xfrm>
                  <a:off x="1051" y="1155"/>
                  <a:ext cx="11" cy="7"/>
                  <a:chOff x="991" y="691"/>
                  <a:chExt cx="11" cy="7"/>
                </a:xfrm>
              </xdr:grpSpPr>
              <xdr:sp macro="" textlink="">
                <xdr:nvSpPr>
                  <xdr:cNvPr id="218" name="Line 125">
                    <a:extLst>
                      <a:ext uri="{FF2B5EF4-FFF2-40B4-BE49-F238E27FC236}">
                        <a16:creationId xmlns:a16="http://schemas.microsoft.com/office/drawing/2014/main" id="{00000000-0008-0000-0100-0000DA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9" name="Line 126">
                    <a:extLst>
                      <a:ext uri="{FF2B5EF4-FFF2-40B4-BE49-F238E27FC236}">
                        <a16:creationId xmlns:a16="http://schemas.microsoft.com/office/drawing/2014/main" id="{00000000-0008-0000-0100-0000DB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08" name="Group 127">
                  <a:extLst>
                    <a:ext uri="{FF2B5EF4-FFF2-40B4-BE49-F238E27FC236}">
                      <a16:creationId xmlns:a16="http://schemas.microsoft.com/office/drawing/2014/main" id="{00000000-0008-0000-0100-0000D0000000}"/>
                    </a:ext>
                  </a:extLst>
                </xdr:cNvPr>
                <xdr:cNvGrpSpPr>
                  <a:grpSpLocks/>
                </xdr:cNvGrpSpPr>
              </xdr:nvGrpSpPr>
              <xdr:grpSpPr bwMode="auto">
                <a:xfrm>
                  <a:off x="1063" y="1155"/>
                  <a:ext cx="11" cy="7"/>
                  <a:chOff x="991" y="691"/>
                  <a:chExt cx="11" cy="7"/>
                </a:xfrm>
              </xdr:grpSpPr>
              <xdr:sp macro="" textlink="">
                <xdr:nvSpPr>
                  <xdr:cNvPr id="216" name="Line 128">
                    <a:extLst>
                      <a:ext uri="{FF2B5EF4-FFF2-40B4-BE49-F238E27FC236}">
                        <a16:creationId xmlns:a16="http://schemas.microsoft.com/office/drawing/2014/main" id="{00000000-0008-0000-0100-0000D8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7" name="Line 129">
                    <a:extLst>
                      <a:ext uri="{FF2B5EF4-FFF2-40B4-BE49-F238E27FC236}">
                        <a16:creationId xmlns:a16="http://schemas.microsoft.com/office/drawing/2014/main" id="{00000000-0008-0000-0100-0000D9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09" name="Group 130">
                  <a:extLst>
                    <a:ext uri="{FF2B5EF4-FFF2-40B4-BE49-F238E27FC236}">
                      <a16:creationId xmlns:a16="http://schemas.microsoft.com/office/drawing/2014/main" id="{00000000-0008-0000-0100-0000D1000000}"/>
                    </a:ext>
                  </a:extLst>
                </xdr:cNvPr>
                <xdr:cNvGrpSpPr>
                  <a:grpSpLocks/>
                </xdr:cNvGrpSpPr>
              </xdr:nvGrpSpPr>
              <xdr:grpSpPr bwMode="auto">
                <a:xfrm>
                  <a:off x="1075" y="1155"/>
                  <a:ext cx="11" cy="7"/>
                  <a:chOff x="991" y="691"/>
                  <a:chExt cx="11" cy="7"/>
                </a:xfrm>
              </xdr:grpSpPr>
              <xdr:sp macro="" textlink="">
                <xdr:nvSpPr>
                  <xdr:cNvPr id="214" name="Line 131">
                    <a:extLst>
                      <a:ext uri="{FF2B5EF4-FFF2-40B4-BE49-F238E27FC236}">
                        <a16:creationId xmlns:a16="http://schemas.microsoft.com/office/drawing/2014/main" id="{00000000-0008-0000-0100-0000D6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5" name="Line 132">
                    <a:extLst>
                      <a:ext uri="{FF2B5EF4-FFF2-40B4-BE49-F238E27FC236}">
                        <a16:creationId xmlns:a16="http://schemas.microsoft.com/office/drawing/2014/main" id="{00000000-0008-0000-0100-0000D7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10" name="Group 133">
                  <a:extLst>
                    <a:ext uri="{FF2B5EF4-FFF2-40B4-BE49-F238E27FC236}">
                      <a16:creationId xmlns:a16="http://schemas.microsoft.com/office/drawing/2014/main" id="{00000000-0008-0000-0100-0000D2000000}"/>
                    </a:ext>
                  </a:extLst>
                </xdr:cNvPr>
                <xdr:cNvGrpSpPr>
                  <a:grpSpLocks/>
                </xdr:cNvGrpSpPr>
              </xdr:nvGrpSpPr>
              <xdr:grpSpPr bwMode="auto">
                <a:xfrm>
                  <a:off x="1086" y="1155"/>
                  <a:ext cx="11" cy="7"/>
                  <a:chOff x="991" y="691"/>
                  <a:chExt cx="11" cy="7"/>
                </a:xfrm>
              </xdr:grpSpPr>
              <xdr:sp macro="" textlink="">
                <xdr:nvSpPr>
                  <xdr:cNvPr id="212" name="Line 134">
                    <a:extLst>
                      <a:ext uri="{FF2B5EF4-FFF2-40B4-BE49-F238E27FC236}">
                        <a16:creationId xmlns:a16="http://schemas.microsoft.com/office/drawing/2014/main" id="{00000000-0008-0000-0100-0000D400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3" name="Line 135">
                    <a:extLst>
                      <a:ext uri="{FF2B5EF4-FFF2-40B4-BE49-F238E27FC236}">
                        <a16:creationId xmlns:a16="http://schemas.microsoft.com/office/drawing/2014/main" id="{00000000-0008-0000-0100-0000D500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11" name="Line 136">
                  <a:extLst>
                    <a:ext uri="{FF2B5EF4-FFF2-40B4-BE49-F238E27FC236}">
                      <a16:creationId xmlns:a16="http://schemas.microsoft.com/office/drawing/2014/main" id="{00000000-0008-0000-0100-0000D3000000}"/>
                    </a:ext>
                  </a:extLst>
                </xdr:cNvPr>
                <xdr:cNvSpPr>
                  <a:spLocks noChangeShapeType="1"/>
                </xdr:cNvSpPr>
              </xdr:nvSpPr>
              <xdr:spPr bwMode="auto">
                <a:xfrm>
                  <a:off x="1097" y="1162"/>
                  <a:ext cx="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05" name="Line 137">
                <a:extLst>
                  <a:ext uri="{FF2B5EF4-FFF2-40B4-BE49-F238E27FC236}">
                    <a16:creationId xmlns:a16="http://schemas.microsoft.com/office/drawing/2014/main" id="{00000000-0008-0000-0100-0000CD000000}"/>
                  </a:ext>
                </a:extLst>
              </xdr:cNvPr>
              <xdr:cNvSpPr>
                <a:spLocks noChangeShapeType="1"/>
              </xdr:cNvSpPr>
            </xdr:nvSpPr>
            <xdr:spPr bwMode="auto">
              <a:xfrm flipV="1">
                <a:off x="1115" y="1156"/>
                <a:ext cx="4" cy="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187" name="Group 138">
              <a:extLst>
                <a:ext uri="{FF2B5EF4-FFF2-40B4-BE49-F238E27FC236}">
                  <a16:creationId xmlns:a16="http://schemas.microsoft.com/office/drawing/2014/main" id="{00000000-0008-0000-0100-0000BB000000}"/>
                </a:ext>
              </a:extLst>
            </xdr:cNvPr>
            <xdr:cNvGrpSpPr>
              <a:grpSpLocks/>
            </xdr:cNvGrpSpPr>
          </xdr:nvGrpSpPr>
          <xdr:grpSpPr bwMode="auto">
            <a:xfrm>
              <a:off x="1035" y="1166"/>
              <a:ext cx="186" cy="59"/>
              <a:chOff x="1035" y="1166"/>
              <a:chExt cx="186" cy="59"/>
            </a:xfrm>
          </xdr:grpSpPr>
          <xdr:sp macro="" textlink="">
            <xdr:nvSpPr>
              <xdr:cNvPr id="188" name="Rectangle 139">
                <a:extLst>
                  <a:ext uri="{FF2B5EF4-FFF2-40B4-BE49-F238E27FC236}">
                    <a16:creationId xmlns:a16="http://schemas.microsoft.com/office/drawing/2014/main" id="{00000000-0008-0000-0100-0000BC000000}"/>
                  </a:ext>
                </a:extLst>
              </xdr:cNvPr>
              <xdr:cNvSpPr>
                <a:spLocks noChangeArrowheads="1"/>
              </xdr:cNvSpPr>
            </xdr:nvSpPr>
            <xdr:spPr bwMode="auto">
              <a:xfrm>
                <a:off x="1035" y="1166"/>
                <a:ext cx="186" cy="1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89" name="Group 140">
                <a:extLst>
                  <a:ext uri="{FF2B5EF4-FFF2-40B4-BE49-F238E27FC236}">
                    <a16:creationId xmlns:a16="http://schemas.microsoft.com/office/drawing/2014/main" id="{00000000-0008-0000-0100-0000BD000000}"/>
                  </a:ext>
                </a:extLst>
              </xdr:cNvPr>
              <xdr:cNvGrpSpPr>
                <a:grpSpLocks/>
              </xdr:cNvGrpSpPr>
            </xdr:nvGrpSpPr>
            <xdr:grpSpPr bwMode="auto">
              <a:xfrm>
                <a:off x="1081" y="1189"/>
                <a:ext cx="98" cy="36"/>
                <a:chOff x="992" y="763"/>
                <a:chExt cx="98" cy="59"/>
              </a:xfrm>
            </xdr:grpSpPr>
            <xdr:sp macro="" textlink="">
              <xdr:nvSpPr>
                <xdr:cNvPr id="190" name="Oval 141">
                  <a:extLst>
                    <a:ext uri="{FF2B5EF4-FFF2-40B4-BE49-F238E27FC236}">
                      <a16:creationId xmlns:a16="http://schemas.microsoft.com/office/drawing/2014/main" id="{00000000-0008-0000-0100-0000BE000000}"/>
                    </a:ext>
                  </a:extLst>
                </xdr:cNvPr>
                <xdr:cNvSpPr>
                  <a:spLocks noChangeArrowheads="1"/>
                </xdr:cNvSpPr>
              </xdr:nvSpPr>
              <xdr:spPr bwMode="auto">
                <a:xfrm>
                  <a:off x="1034" y="810"/>
                  <a:ext cx="14" cy="12"/>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91" name="Group 142">
                  <a:extLst>
                    <a:ext uri="{FF2B5EF4-FFF2-40B4-BE49-F238E27FC236}">
                      <a16:creationId xmlns:a16="http://schemas.microsoft.com/office/drawing/2014/main" id="{00000000-0008-0000-0100-0000BF000000}"/>
                    </a:ext>
                  </a:extLst>
                </xdr:cNvPr>
                <xdr:cNvGrpSpPr>
                  <a:grpSpLocks/>
                </xdr:cNvGrpSpPr>
              </xdr:nvGrpSpPr>
              <xdr:grpSpPr bwMode="auto">
                <a:xfrm>
                  <a:off x="992" y="763"/>
                  <a:ext cx="98" cy="27"/>
                  <a:chOff x="1210" y="756"/>
                  <a:chExt cx="124" cy="27"/>
                </a:xfrm>
              </xdr:grpSpPr>
              <xdr:grpSp>
                <xdr:nvGrpSpPr>
                  <xdr:cNvPr id="196" name="Group 143">
                    <a:extLst>
                      <a:ext uri="{FF2B5EF4-FFF2-40B4-BE49-F238E27FC236}">
                        <a16:creationId xmlns:a16="http://schemas.microsoft.com/office/drawing/2014/main" id="{00000000-0008-0000-0100-0000C4000000}"/>
                      </a:ext>
                    </a:extLst>
                  </xdr:cNvPr>
                  <xdr:cNvGrpSpPr>
                    <a:grpSpLocks/>
                  </xdr:cNvGrpSpPr>
                </xdr:nvGrpSpPr>
                <xdr:grpSpPr bwMode="auto">
                  <a:xfrm>
                    <a:off x="1210" y="756"/>
                    <a:ext cx="63" cy="27"/>
                    <a:chOff x="1210" y="756"/>
                    <a:chExt cx="63" cy="27"/>
                  </a:xfrm>
                </xdr:grpSpPr>
                <xdr:sp macro="" textlink="">
                  <xdr:nvSpPr>
                    <xdr:cNvPr id="200" name="Oval 144">
                      <a:extLst>
                        <a:ext uri="{FF2B5EF4-FFF2-40B4-BE49-F238E27FC236}">
                          <a16:creationId xmlns:a16="http://schemas.microsoft.com/office/drawing/2014/main" id="{00000000-0008-0000-0100-0000C800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01" name="AutoShape 145">
                      <a:extLst>
                        <a:ext uri="{FF2B5EF4-FFF2-40B4-BE49-F238E27FC236}">
                          <a16:creationId xmlns:a16="http://schemas.microsoft.com/office/drawing/2014/main" id="{00000000-0008-0000-0100-0000C900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97" name="Group 146">
                    <a:extLst>
                      <a:ext uri="{FF2B5EF4-FFF2-40B4-BE49-F238E27FC236}">
                        <a16:creationId xmlns:a16="http://schemas.microsoft.com/office/drawing/2014/main" id="{00000000-0008-0000-0100-0000C5000000}"/>
                      </a:ext>
                    </a:extLst>
                  </xdr:cNvPr>
                  <xdr:cNvGrpSpPr>
                    <a:grpSpLocks/>
                  </xdr:cNvGrpSpPr>
                </xdr:nvGrpSpPr>
                <xdr:grpSpPr bwMode="auto">
                  <a:xfrm flipH="1">
                    <a:off x="1271" y="756"/>
                    <a:ext cx="63" cy="27"/>
                    <a:chOff x="1210" y="756"/>
                    <a:chExt cx="63" cy="27"/>
                  </a:xfrm>
                </xdr:grpSpPr>
                <xdr:sp macro="" textlink="">
                  <xdr:nvSpPr>
                    <xdr:cNvPr id="198" name="Oval 147">
                      <a:extLst>
                        <a:ext uri="{FF2B5EF4-FFF2-40B4-BE49-F238E27FC236}">
                          <a16:creationId xmlns:a16="http://schemas.microsoft.com/office/drawing/2014/main" id="{00000000-0008-0000-0100-0000C600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9" name="AutoShape 148">
                      <a:extLst>
                        <a:ext uri="{FF2B5EF4-FFF2-40B4-BE49-F238E27FC236}">
                          <a16:creationId xmlns:a16="http://schemas.microsoft.com/office/drawing/2014/main" id="{00000000-0008-0000-0100-0000C700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192" name="Line 149">
                  <a:extLst>
                    <a:ext uri="{FF2B5EF4-FFF2-40B4-BE49-F238E27FC236}">
                      <a16:creationId xmlns:a16="http://schemas.microsoft.com/office/drawing/2014/main" id="{00000000-0008-0000-0100-0000C0000000}"/>
                    </a:ext>
                  </a:extLst>
                </xdr:cNvPr>
                <xdr:cNvSpPr>
                  <a:spLocks noChangeShapeType="1"/>
                </xdr:cNvSpPr>
              </xdr:nvSpPr>
              <xdr:spPr bwMode="auto">
                <a:xfrm>
                  <a:off x="1041" y="777"/>
                  <a:ext cx="0"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193" name="Group 150">
                  <a:extLst>
                    <a:ext uri="{FF2B5EF4-FFF2-40B4-BE49-F238E27FC236}">
                      <a16:creationId xmlns:a16="http://schemas.microsoft.com/office/drawing/2014/main" id="{00000000-0008-0000-0100-0000C1000000}"/>
                    </a:ext>
                  </a:extLst>
                </xdr:cNvPr>
                <xdr:cNvGrpSpPr>
                  <a:grpSpLocks/>
                </xdr:cNvGrpSpPr>
              </xdr:nvGrpSpPr>
              <xdr:grpSpPr bwMode="auto">
                <a:xfrm>
                  <a:off x="1035" y="784"/>
                  <a:ext cx="12" cy="31"/>
                  <a:chOff x="1039" y="785"/>
                  <a:chExt cx="12" cy="31"/>
                </a:xfrm>
              </xdr:grpSpPr>
              <xdr:sp macro="" textlink="">
                <xdr:nvSpPr>
                  <xdr:cNvPr id="194" name="Oval 151">
                    <a:extLst>
                      <a:ext uri="{FF2B5EF4-FFF2-40B4-BE49-F238E27FC236}">
                        <a16:creationId xmlns:a16="http://schemas.microsoft.com/office/drawing/2014/main" id="{00000000-0008-0000-0100-0000C2000000}"/>
                      </a:ext>
                    </a:extLst>
                  </xdr:cNvPr>
                  <xdr:cNvSpPr>
                    <a:spLocks noChangeArrowheads="1"/>
                  </xdr:cNvSpPr>
                </xdr:nvSpPr>
                <xdr:spPr bwMode="auto">
                  <a:xfrm>
                    <a:off x="1039" y="785"/>
                    <a:ext cx="12" cy="8"/>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95" name="Rectangle 152">
                    <a:extLst>
                      <a:ext uri="{FF2B5EF4-FFF2-40B4-BE49-F238E27FC236}">
                        <a16:creationId xmlns:a16="http://schemas.microsoft.com/office/drawing/2014/main" id="{00000000-0008-0000-0100-0000C3000000}"/>
                      </a:ext>
                    </a:extLst>
                  </xdr:cNvPr>
                  <xdr:cNvSpPr>
                    <a:spLocks noChangeArrowheads="1"/>
                  </xdr:cNvSpPr>
                </xdr:nvSpPr>
                <xdr:spPr bwMode="auto">
                  <a:xfrm>
                    <a:off x="1039" y="790"/>
                    <a:ext cx="12" cy="26"/>
                  </a:xfrm>
                  <a:prstGeom prst="rect">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sp macro="" textlink="">
        <xdr:nvSpPr>
          <xdr:cNvPr id="185" name="Rectangle 153">
            <a:extLst>
              <a:ext uri="{FF2B5EF4-FFF2-40B4-BE49-F238E27FC236}">
                <a16:creationId xmlns:a16="http://schemas.microsoft.com/office/drawing/2014/main" id="{00000000-0008-0000-0100-0000B9000000}"/>
              </a:ext>
            </a:extLst>
          </xdr:cNvPr>
          <xdr:cNvSpPr>
            <a:spLocks noChangeArrowheads="1"/>
          </xdr:cNvSpPr>
        </xdr:nvSpPr>
        <xdr:spPr bwMode="auto">
          <a:xfrm>
            <a:off x="1168" y="893"/>
            <a:ext cx="29" cy="1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600075</xdr:colOff>
      <xdr:row>6</xdr:row>
      <xdr:rowOff>73208</xdr:rowOff>
    </xdr:from>
    <xdr:to>
      <xdr:col>13</xdr:col>
      <xdr:colOff>240458</xdr:colOff>
      <xdr:row>10</xdr:row>
      <xdr:rowOff>54425</xdr:rowOff>
    </xdr:to>
    <xdr:cxnSp macro="">
      <xdr:nvCxnSpPr>
        <xdr:cNvPr id="246" name="Elbow Connector 245">
          <a:extLst>
            <a:ext uri="{FF2B5EF4-FFF2-40B4-BE49-F238E27FC236}">
              <a16:creationId xmlns:a16="http://schemas.microsoft.com/office/drawing/2014/main" id="{00000000-0008-0000-0100-0000F6000000}"/>
            </a:ext>
          </a:extLst>
        </xdr:cNvPr>
        <xdr:cNvCxnSpPr>
          <a:stCxn id="188" idx="1"/>
          <a:endCxn id="40" idx="1"/>
        </xdr:cNvCxnSpPr>
      </xdr:nvCxnSpPr>
      <xdr:spPr>
        <a:xfrm>
          <a:off x="5762625" y="835208"/>
          <a:ext cx="249983" cy="74321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250825</xdr:colOff>
      <xdr:row>6</xdr:row>
      <xdr:rowOff>19050</xdr:rowOff>
    </xdr:from>
    <xdr:to>
      <xdr:col>15</xdr:col>
      <xdr:colOff>212725</xdr:colOff>
      <xdr:row>7</xdr:row>
      <xdr:rowOff>57150</xdr:rowOff>
    </xdr:to>
    <xdr:grpSp>
      <xdr:nvGrpSpPr>
        <xdr:cNvPr id="248" name="Group 91">
          <a:extLst>
            <a:ext uri="{FF2B5EF4-FFF2-40B4-BE49-F238E27FC236}">
              <a16:creationId xmlns:a16="http://schemas.microsoft.com/office/drawing/2014/main" id="{00000000-0008-0000-0100-0000F8000000}"/>
            </a:ext>
          </a:extLst>
        </xdr:cNvPr>
        <xdr:cNvGrpSpPr>
          <a:grpSpLocks/>
        </xdr:cNvGrpSpPr>
      </xdr:nvGrpSpPr>
      <xdr:grpSpPr bwMode="auto">
        <a:xfrm flipH="1">
          <a:off x="10182038" y="1237690"/>
          <a:ext cx="578224" cy="234203"/>
          <a:chOff x="982" y="878"/>
          <a:chExt cx="215" cy="70"/>
        </a:xfrm>
      </xdr:grpSpPr>
      <xdr:grpSp>
        <xdr:nvGrpSpPr>
          <xdr:cNvPr id="249" name="Group 92">
            <a:extLst>
              <a:ext uri="{FF2B5EF4-FFF2-40B4-BE49-F238E27FC236}">
                <a16:creationId xmlns:a16="http://schemas.microsoft.com/office/drawing/2014/main" id="{00000000-0008-0000-0100-0000F9000000}"/>
              </a:ext>
            </a:extLst>
          </xdr:cNvPr>
          <xdr:cNvGrpSpPr>
            <a:grpSpLocks/>
          </xdr:cNvGrpSpPr>
        </xdr:nvGrpSpPr>
        <xdr:grpSpPr bwMode="auto">
          <a:xfrm>
            <a:off x="982" y="878"/>
            <a:ext cx="186" cy="70"/>
            <a:chOff x="1035" y="1155"/>
            <a:chExt cx="186" cy="70"/>
          </a:xfrm>
        </xdr:grpSpPr>
        <xdr:grpSp>
          <xdr:nvGrpSpPr>
            <xdr:cNvPr id="251" name="Group 93">
              <a:extLst>
                <a:ext uri="{FF2B5EF4-FFF2-40B4-BE49-F238E27FC236}">
                  <a16:creationId xmlns:a16="http://schemas.microsoft.com/office/drawing/2014/main" id="{00000000-0008-0000-0100-0000FB000000}"/>
                </a:ext>
              </a:extLst>
            </xdr:cNvPr>
            <xdr:cNvGrpSpPr>
              <a:grpSpLocks/>
            </xdr:cNvGrpSpPr>
          </xdr:nvGrpSpPr>
          <xdr:grpSpPr bwMode="auto">
            <a:xfrm>
              <a:off x="1039" y="1155"/>
              <a:ext cx="179" cy="8"/>
              <a:chOff x="1039" y="1155"/>
              <a:chExt cx="179" cy="8"/>
            </a:xfrm>
          </xdr:grpSpPr>
          <xdr:grpSp>
            <xdr:nvGrpSpPr>
              <xdr:cNvPr id="267" name="Group 94">
                <a:extLst>
                  <a:ext uri="{FF2B5EF4-FFF2-40B4-BE49-F238E27FC236}">
                    <a16:creationId xmlns:a16="http://schemas.microsoft.com/office/drawing/2014/main" id="{00000000-0008-0000-0100-00000B010000}"/>
                  </a:ext>
                </a:extLst>
              </xdr:cNvPr>
              <xdr:cNvGrpSpPr>
                <a:grpSpLocks/>
              </xdr:cNvGrpSpPr>
            </xdr:nvGrpSpPr>
            <xdr:grpSpPr bwMode="auto">
              <a:xfrm>
                <a:off x="1171" y="1156"/>
                <a:ext cx="47" cy="7"/>
                <a:chOff x="962" y="700"/>
                <a:chExt cx="47" cy="7"/>
              </a:xfrm>
            </xdr:grpSpPr>
            <xdr:grpSp>
              <xdr:nvGrpSpPr>
                <xdr:cNvPr id="299" name="Group 95">
                  <a:extLst>
                    <a:ext uri="{FF2B5EF4-FFF2-40B4-BE49-F238E27FC236}">
                      <a16:creationId xmlns:a16="http://schemas.microsoft.com/office/drawing/2014/main" id="{00000000-0008-0000-0100-00002B010000}"/>
                    </a:ext>
                  </a:extLst>
                </xdr:cNvPr>
                <xdr:cNvGrpSpPr>
                  <a:grpSpLocks/>
                </xdr:cNvGrpSpPr>
              </xdr:nvGrpSpPr>
              <xdr:grpSpPr bwMode="auto">
                <a:xfrm>
                  <a:off x="962" y="700"/>
                  <a:ext cx="11" cy="7"/>
                  <a:chOff x="991" y="691"/>
                  <a:chExt cx="11" cy="7"/>
                </a:xfrm>
              </xdr:grpSpPr>
              <xdr:sp macro="" textlink="">
                <xdr:nvSpPr>
                  <xdr:cNvPr id="309" name="Line 96">
                    <a:extLst>
                      <a:ext uri="{FF2B5EF4-FFF2-40B4-BE49-F238E27FC236}">
                        <a16:creationId xmlns:a16="http://schemas.microsoft.com/office/drawing/2014/main" id="{00000000-0008-0000-0100-000035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0" name="Line 97">
                    <a:extLst>
                      <a:ext uri="{FF2B5EF4-FFF2-40B4-BE49-F238E27FC236}">
                        <a16:creationId xmlns:a16="http://schemas.microsoft.com/office/drawing/2014/main" id="{00000000-0008-0000-0100-000036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00" name="Group 98">
                  <a:extLst>
                    <a:ext uri="{FF2B5EF4-FFF2-40B4-BE49-F238E27FC236}">
                      <a16:creationId xmlns:a16="http://schemas.microsoft.com/office/drawing/2014/main" id="{00000000-0008-0000-0100-00002C010000}"/>
                    </a:ext>
                  </a:extLst>
                </xdr:cNvPr>
                <xdr:cNvGrpSpPr>
                  <a:grpSpLocks/>
                </xdr:cNvGrpSpPr>
              </xdr:nvGrpSpPr>
              <xdr:grpSpPr bwMode="auto">
                <a:xfrm>
                  <a:off x="974" y="700"/>
                  <a:ext cx="11" cy="7"/>
                  <a:chOff x="991" y="691"/>
                  <a:chExt cx="11" cy="7"/>
                </a:xfrm>
              </xdr:grpSpPr>
              <xdr:sp macro="" textlink="">
                <xdr:nvSpPr>
                  <xdr:cNvPr id="307" name="Line 99">
                    <a:extLst>
                      <a:ext uri="{FF2B5EF4-FFF2-40B4-BE49-F238E27FC236}">
                        <a16:creationId xmlns:a16="http://schemas.microsoft.com/office/drawing/2014/main" id="{00000000-0008-0000-0100-000033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8" name="Line 100">
                    <a:extLst>
                      <a:ext uri="{FF2B5EF4-FFF2-40B4-BE49-F238E27FC236}">
                        <a16:creationId xmlns:a16="http://schemas.microsoft.com/office/drawing/2014/main" id="{00000000-0008-0000-0100-000034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01" name="Group 101">
                  <a:extLst>
                    <a:ext uri="{FF2B5EF4-FFF2-40B4-BE49-F238E27FC236}">
                      <a16:creationId xmlns:a16="http://schemas.microsoft.com/office/drawing/2014/main" id="{00000000-0008-0000-0100-00002D010000}"/>
                    </a:ext>
                  </a:extLst>
                </xdr:cNvPr>
                <xdr:cNvGrpSpPr>
                  <a:grpSpLocks/>
                </xdr:cNvGrpSpPr>
              </xdr:nvGrpSpPr>
              <xdr:grpSpPr bwMode="auto">
                <a:xfrm>
                  <a:off x="986" y="700"/>
                  <a:ext cx="11" cy="7"/>
                  <a:chOff x="991" y="691"/>
                  <a:chExt cx="11" cy="7"/>
                </a:xfrm>
              </xdr:grpSpPr>
              <xdr:sp macro="" textlink="">
                <xdr:nvSpPr>
                  <xdr:cNvPr id="305" name="Line 102">
                    <a:extLst>
                      <a:ext uri="{FF2B5EF4-FFF2-40B4-BE49-F238E27FC236}">
                        <a16:creationId xmlns:a16="http://schemas.microsoft.com/office/drawing/2014/main" id="{00000000-0008-0000-0100-000031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6" name="Line 103">
                    <a:extLst>
                      <a:ext uri="{FF2B5EF4-FFF2-40B4-BE49-F238E27FC236}">
                        <a16:creationId xmlns:a16="http://schemas.microsoft.com/office/drawing/2014/main" id="{00000000-0008-0000-0100-000032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02" name="Group 104">
                  <a:extLst>
                    <a:ext uri="{FF2B5EF4-FFF2-40B4-BE49-F238E27FC236}">
                      <a16:creationId xmlns:a16="http://schemas.microsoft.com/office/drawing/2014/main" id="{00000000-0008-0000-0100-00002E010000}"/>
                    </a:ext>
                  </a:extLst>
                </xdr:cNvPr>
                <xdr:cNvGrpSpPr>
                  <a:grpSpLocks/>
                </xdr:cNvGrpSpPr>
              </xdr:nvGrpSpPr>
              <xdr:grpSpPr bwMode="auto">
                <a:xfrm>
                  <a:off x="998" y="700"/>
                  <a:ext cx="11" cy="7"/>
                  <a:chOff x="991" y="691"/>
                  <a:chExt cx="11" cy="7"/>
                </a:xfrm>
              </xdr:grpSpPr>
              <xdr:sp macro="" textlink="">
                <xdr:nvSpPr>
                  <xdr:cNvPr id="303" name="Line 105">
                    <a:extLst>
                      <a:ext uri="{FF2B5EF4-FFF2-40B4-BE49-F238E27FC236}">
                        <a16:creationId xmlns:a16="http://schemas.microsoft.com/office/drawing/2014/main" id="{00000000-0008-0000-0100-00002F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4" name="Line 106">
                    <a:extLst>
                      <a:ext uri="{FF2B5EF4-FFF2-40B4-BE49-F238E27FC236}">
                        <a16:creationId xmlns:a16="http://schemas.microsoft.com/office/drawing/2014/main" id="{00000000-0008-0000-0100-000030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268" name="Group 267">
                <a:extLst>
                  <a:ext uri="{FF2B5EF4-FFF2-40B4-BE49-F238E27FC236}">
                    <a16:creationId xmlns:a16="http://schemas.microsoft.com/office/drawing/2014/main" id="{00000000-0008-0000-0100-00000C010000}"/>
                  </a:ext>
                </a:extLst>
              </xdr:cNvPr>
              <xdr:cNvGrpSpPr>
                <a:grpSpLocks/>
              </xdr:cNvGrpSpPr>
            </xdr:nvGrpSpPr>
            <xdr:grpSpPr bwMode="auto">
              <a:xfrm>
                <a:off x="1122" y="1156"/>
                <a:ext cx="47" cy="7"/>
                <a:chOff x="962" y="700"/>
                <a:chExt cx="47" cy="7"/>
              </a:xfrm>
            </xdr:grpSpPr>
            <xdr:grpSp>
              <xdr:nvGrpSpPr>
                <xdr:cNvPr id="287" name="Group 108">
                  <a:extLst>
                    <a:ext uri="{FF2B5EF4-FFF2-40B4-BE49-F238E27FC236}">
                      <a16:creationId xmlns:a16="http://schemas.microsoft.com/office/drawing/2014/main" id="{00000000-0008-0000-0100-00001F010000}"/>
                    </a:ext>
                  </a:extLst>
                </xdr:cNvPr>
                <xdr:cNvGrpSpPr>
                  <a:grpSpLocks/>
                </xdr:cNvGrpSpPr>
              </xdr:nvGrpSpPr>
              <xdr:grpSpPr bwMode="auto">
                <a:xfrm>
                  <a:off x="962" y="700"/>
                  <a:ext cx="11" cy="7"/>
                  <a:chOff x="991" y="691"/>
                  <a:chExt cx="11" cy="7"/>
                </a:xfrm>
              </xdr:grpSpPr>
              <xdr:sp macro="" textlink="">
                <xdr:nvSpPr>
                  <xdr:cNvPr id="297" name="Line 109">
                    <a:extLst>
                      <a:ext uri="{FF2B5EF4-FFF2-40B4-BE49-F238E27FC236}">
                        <a16:creationId xmlns:a16="http://schemas.microsoft.com/office/drawing/2014/main" id="{00000000-0008-0000-0100-000029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8" name="Line 110">
                    <a:extLst>
                      <a:ext uri="{FF2B5EF4-FFF2-40B4-BE49-F238E27FC236}">
                        <a16:creationId xmlns:a16="http://schemas.microsoft.com/office/drawing/2014/main" id="{00000000-0008-0000-0100-00002A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88" name="Group 111">
                  <a:extLst>
                    <a:ext uri="{FF2B5EF4-FFF2-40B4-BE49-F238E27FC236}">
                      <a16:creationId xmlns:a16="http://schemas.microsoft.com/office/drawing/2014/main" id="{00000000-0008-0000-0100-000020010000}"/>
                    </a:ext>
                  </a:extLst>
                </xdr:cNvPr>
                <xdr:cNvGrpSpPr>
                  <a:grpSpLocks/>
                </xdr:cNvGrpSpPr>
              </xdr:nvGrpSpPr>
              <xdr:grpSpPr bwMode="auto">
                <a:xfrm>
                  <a:off x="974" y="700"/>
                  <a:ext cx="11" cy="7"/>
                  <a:chOff x="991" y="691"/>
                  <a:chExt cx="11" cy="7"/>
                </a:xfrm>
              </xdr:grpSpPr>
              <xdr:sp macro="" textlink="">
                <xdr:nvSpPr>
                  <xdr:cNvPr id="295" name="Line 112">
                    <a:extLst>
                      <a:ext uri="{FF2B5EF4-FFF2-40B4-BE49-F238E27FC236}">
                        <a16:creationId xmlns:a16="http://schemas.microsoft.com/office/drawing/2014/main" id="{00000000-0008-0000-0100-000027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6" name="Line 113">
                    <a:extLst>
                      <a:ext uri="{FF2B5EF4-FFF2-40B4-BE49-F238E27FC236}">
                        <a16:creationId xmlns:a16="http://schemas.microsoft.com/office/drawing/2014/main" id="{00000000-0008-0000-0100-000028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89" name="Group 114">
                  <a:extLst>
                    <a:ext uri="{FF2B5EF4-FFF2-40B4-BE49-F238E27FC236}">
                      <a16:creationId xmlns:a16="http://schemas.microsoft.com/office/drawing/2014/main" id="{00000000-0008-0000-0100-000021010000}"/>
                    </a:ext>
                  </a:extLst>
                </xdr:cNvPr>
                <xdr:cNvGrpSpPr>
                  <a:grpSpLocks/>
                </xdr:cNvGrpSpPr>
              </xdr:nvGrpSpPr>
              <xdr:grpSpPr bwMode="auto">
                <a:xfrm>
                  <a:off x="986" y="700"/>
                  <a:ext cx="11" cy="7"/>
                  <a:chOff x="991" y="691"/>
                  <a:chExt cx="11" cy="7"/>
                </a:xfrm>
              </xdr:grpSpPr>
              <xdr:sp macro="" textlink="">
                <xdr:nvSpPr>
                  <xdr:cNvPr id="293" name="Line 115">
                    <a:extLst>
                      <a:ext uri="{FF2B5EF4-FFF2-40B4-BE49-F238E27FC236}">
                        <a16:creationId xmlns:a16="http://schemas.microsoft.com/office/drawing/2014/main" id="{00000000-0008-0000-0100-000025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4" name="Line 116">
                    <a:extLst>
                      <a:ext uri="{FF2B5EF4-FFF2-40B4-BE49-F238E27FC236}">
                        <a16:creationId xmlns:a16="http://schemas.microsoft.com/office/drawing/2014/main" id="{00000000-0008-0000-0100-000026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90" name="Group 117">
                  <a:extLst>
                    <a:ext uri="{FF2B5EF4-FFF2-40B4-BE49-F238E27FC236}">
                      <a16:creationId xmlns:a16="http://schemas.microsoft.com/office/drawing/2014/main" id="{00000000-0008-0000-0100-000022010000}"/>
                    </a:ext>
                  </a:extLst>
                </xdr:cNvPr>
                <xdr:cNvGrpSpPr>
                  <a:grpSpLocks/>
                </xdr:cNvGrpSpPr>
              </xdr:nvGrpSpPr>
              <xdr:grpSpPr bwMode="auto">
                <a:xfrm>
                  <a:off x="998" y="700"/>
                  <a:ext cx="11" cy="7"/>
                  <a:chOff x="991" y="691"/>
                  <a:chExt cx="11" cy="7"/>
                </a:xfrm>
              </xdr:grpSpPr>
              <xdr:sp macro="" textlink="">
                <xdr:nvSpPr>
                  <xdr:cNvPr id="291" name="Line 118">
                    <a:extLst>
                      <a:ext uri="{FF2B5EF4-FFF2-40B4-BE49-F238E27FC236}">
                        <a16:creationId xmlns:a16="http://schemas.microsoft.com/office/drawing/2014/main" id="{00000000-0008-0000-0100-000023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2" name="Line 119">
                    <a:extLst>
                      <a:ext uri="{FF2B5EF4-FFF2-40B4-BE49-F238E27FC236}">
                        <a16:creationId xmlns:a16="http://schemas.microsoft.com/office/drawing/2014/main" id="{00000000-0008-0000-0100-000024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269" name="Group 120">
                <a:extLst>
                  <a:ext uri="{FF2B5EF4-FFF2-40B4-BE49-F238E27FC236}">
                    <a16:creationId xmlns:a16="http://schemas.microsoft.com/office/drawing/2014/main" id="{00000000-0008-0000-0100-00000D010000}"/>
                  </a:ext>
                </a:extLst>
              </xdr:cNvPr>
              <xdr:cNvGrpSpPr>
                <a:grpSpLocks/>
              </xdr:cNvGrpSpPr>
            </xdr:nvGrpSpPr>
            <xdr:grpSpPr bwMode="auto">
              <a:xfrm>
                <a:off x="1039" y="1155"/>
                <a:ext cx="66" cy="7"/>
                <a:chOff x="1039" y="1155"/>
                <a:chExt cx="66" cy="7"/>
              </a:xfrm>
            </xdr:grpSpPr>
            <xdr:grpSp>
              <xdr:nvGrpSpPr>
                <xdr:cNvPr id="271" name="Group 121">
                  <a:extLst>
                    <a:ext uri="{FF2B5EF4-FFF2-40B4-BE49-F238E27FC236}">
                      <a16:creationId xmlns:a16="http://schemas.microsoft.com/office/drawing/2014/main" id="{00000000-0008-0000-0100-00000F010000}"/>
                    </a:ext>
                  </a:extLst>
                </xdr:cNvPr>
                <xdr:cNvGrpSpPr>
                  <a:grpSpLocks/>
                </xdr:cNvGrpSpPr>
              </xdr:nvGrpSpPr>
              <xdr:grpSpPr bwMode="auto">
                <a:xfrm>
                  <a:off x="1039" y="1155"/>
                  <a:ext cx="11" cy="7"/>
                  <a:chOff x="991" y="691"/>
                  <a:chExt cx="11" cy="7"/>
                </a:xfrm>
              </xdr:grpSpPr>
              <xdr:sp macro="" textlink="">
                <xdr:nvSpPr>
                  <xdr:cNvPr id="285" name="Line 122">
                    <a:extLst>
                      <a:ext uri="{FF2B5EF4-FFF2-40B4-BE49-F238E27FC236}">
                        <a16:creationId xmlns:a16="http://schemas.microsoft.com/office/drawing/2014/main" id="{00000000-0008-0000-0100-00001D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6" name="Line 123">
                    <a:extLst>
                      <a:ext uri="{FF2B5EF4-FFF2-40B4-BE49-F238E27FC236}">
                        <a16:creationId xmlns:a16="http://schemas.microsoft.com/office/drawing/2014/main" id="{00000000-0008-0000-0100-00001E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72" name="Group 124">
                  <a:extLst>
                    <a:ext uri="{FF2B5EF4-FFF2-40B4-BE49-F238E27FC236}">
                      <a16:creationId xmlns:a16="http://schemas.microsoft.com/office/drawing/2014/main" id="{00000000-0008-0000-0100-000010010000}"/>
                    </a:ext>
                  </a:extLst>
                </xdr:cNvPr>
                <xdr:cNvGrpSpPr>
                  <a:grpSpLocks/>
                </xdr:cNvGrpSpPr>
              </xdr:nvGrpSpPr>
              <xdr:grpSpPr bwMode="auto">
                <a:xfrm>
                  <a:off x="1051" y="1155"/>
                  <a:ext cx="11" cy="7"/>
                  <a:chOff x="991" y="691"/>
                  <a:chExt cx="11" cy="7"/>
                </a:xfrm>
              </xdr:grpSpPr>
              <xdr:sp macro="" textlink="">
                <xdr:nvSpPr>
                  <xdr:cNvPr id="283" name="Line 125">
                    <a:extLst>
                      <a:ext uri="{FF2B5EF4-FFF2-40B4-BE49-F238E27FC236}">
                        <a16:creationId xmlns:a16="http://schemas.microsoft.com/office/drawing/2014/main" id="{00000000-0008-0000-0100-00001B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4" name="Line 126">
                    <a:extLst>
                      <a:ext uri="{FF2B5EF4-FFF2-40B4-BE49-F238E27FC236}">
                        <a16:creationId xmlns:a16="http://schemas.microsoft.com/office/drawing/2014/main" id="{00000000-0008-0000-0100-00001C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73" name="Group 127">
                  <a:extLst>
                    <a:ext uri="{FF2B5EF4-FFF2-40B4-BE49-F238E27FC236}">
                      <a16:creationId xmlns:a16="http://schemas.microsoft.com/office/drawing/2014/main" id="{00000000-0008-0000-0100-000011010000}"/>
                    </a:ext>
                  </a:extLst>
                </xdr:cNvPr>
                <xdr:cNvGrpSpPr>
                  <a:grpSpLocks/>
                </xdr:cNvGrpSpPr>
              </xdr:nvGrpSpPr>
              <xdr:grpSpPr bwMode="auto">
                <a:xfrm>
                  <a:off x="1063" y="1155"/>
                  <a:ext cx="11" cy="7"/>
                  <a:chOff x="991" y="691"/>
                  <a:chExt cx="11" cy="7"/>
                </a:xfrm>
              </xdr:grpSpPr>
              <xdr:sp macro="" textlink="">
                <xdr:nvSpPr>
                  <xdr:cNvPr id="281" name="Line 128">
                    <a:extLst>
                      <a:ext uri="{FF2B5EF4-FFF2-40B4-BE49-F238E27FC236}">
                        <a16:creationId xmlns:a16="http://schemas.microsoft.com/office/drawing/2014/main" id="{00000000-0008-0000-0100-000019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2" name="Line 129">
                    <a:extLst>
                      <a:ext uri="{FF2B5EF4-FFF2-40B4-BE49-F238E27FC236}">
                        <a16:creationId xmlns:a16="http://schemas.microsoft.com/office/drawing/2014/main" id="{00000000-0008-0000-0100-00001A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74" name="Group 130">
                  <a:extLst>
                    <a:ext uri="{FF2B5EF4-FFF2-40B4-BE49-F238E27FC236}">
                      <a16:creationId xmlns:a16="http://schemas.microsoft.com/office/drawing/2014/main" id="{00000000-0008-0000-0100-000012010000}"/>
                    </a:ext>
                  </a:extLst>
                </xdr:cNvPr>
                <xdr:cNvGrpSpPr>
                  <a:grpSpLocks/>
                </xdr:cNvGrpSpPr>
              </xdr:nvGrpSpPr>
              <xdr:grpSpPr bwMode="auto">
                <a:xfrm>
                  <a:off x="1075" y="1155"/>
                  <a:ext cx="11" cy="7"/>
                  <a:chOff x="991" y="691"/>
                  <a:chExt cx="11" cy="7"/>
                </a:xfrm>
              </xdr:grpSpPr>
              <xdr:sp macro="" textlink="">
                <xdr:nvSpPr>
                  <xdr:cNvPr id="279" name="Line 131">
                    <a:extLst>
                      <a:ext uri="{FF2B5EF4-FFF2-40B4-BE49-F238E27FC236}">
                        <a16:creationId xmlns:a16="http://schemas.microsoft.com/office/drawing/2014/main" id="{00000000-0008-0000-0100-000017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80" name="Line 132">
                    <a:extLst>
                      <a:ext uri="{FF2B5EF4-FFF2-40B4-BE49-F238E27FC236}">
                        <a16:creationId xmlns:a16="http://schemas.microsoft.com/office/drawing/2014/main" id="{00000000-0008-0000-0100-000018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75" name="Group 133">
                  <a:extLst>
                    <a:ext uri="{FF2B5EF4-FFF2-40B4-BE49-F238E27FC236}">
                      <a16:creationId xmlns:a16="http://schemas.microsoft.com/office/drawing/2014/main" id="{00000000-0008-0000-0100-000013010000}"/>
                    </a:ext>
                  </a:extLst>
                </xdr:cNvPr>
                <xdr:cNvGrpSpPr>
                  <a:grpSpLocks/>
                </xdr:cNvGrpSpPr>
              </xdr:nvGrpSpPr>
              <xdr:grpSpPr bwMode="auto">
                <a:xfrm>
                  <a:off x="1086" y="1155"/>
                  <a:ext cx="11" cy="7"/>
                  <a:chOff x="991" y="691"/>
                  <a:chExt cx="11" cy="7"/>
                </a:xfrm>
              </xdr:grpSpPr>
              <xdr:sp macro="" textlink="">
                <xdr:nvSpPr>
                  <xdr:cNvPr id="277" name="Line 134">
                    <a:extLst>
                      <a:ext uri="{FF2B5EF4-FFF2-40B4-BE49-F238E27FC236}">
                        <a16:creationId xmlns:a16="http://schemas.microsoft.com/office/drawing/2014/main" id="{00000000-0008-0000-0100-000015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8" name="Line 135">
                    <a:extLst>
                      <a:ext uri="{FF2B5EF4-FFF2-40B4-BE49-F238E27FC236}">
                        <a16:creationId xmlns:a16="http://schemas.microsoft.com/office/drawing/2014/main" id="{00000000-0008-0000-0100-000016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76" name="Line 136">
                  <a:extLst>
                    <a:ext uri="{FF2B5EF4-FFF2-40B4-BE49-F238E27FC236}">
                      <a16:creationId xmlns:a16="http://schemas.microsoft.com/office/drawing/2014/main" id="{00000000-0008-0000-0100-000014010000}"/>
                    </a:ext>
                  </a:extLst>
                </xdr:cNvPr>
                <xdr:cNvSpPr>
                  <a:spLocks noChangeShapeType="1"/>
                </xdr:cNvSpPr>
              </xdr:nvSpPr>
              <xdr:spPr bwMode="auto">
                <a:xfrm>
                  <a:off x="1097" y="1162"/>
                  <a:ext cx="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270" name="Line 137">
                <a:extLst>
                  <a:ext uri="{FF2B5EF4-FFF2-40B4-BE49-F238E27FC236}">
                    <a16:creationId xmlns:a16="http://schemas.microsoft.com/office/drawing/2014/main" id="{00000000-0008-0000-0100-00000E010000}"/>
                  </a:ext>
                </a:extLst>
              </xdr:cNvPr>
              <xdr:cNvSpPr>
                <a:spLocks noChangeShapeType="1"/>
              </xdr:cNvSpPr>
            </xdr:nvSpPr>
            <xdr:spPr bwMode="auto">
              <a:xfrm flipV="1">
                <a:off x="1115" y="1156"/>
                <a:ext cx="4" cy="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252" name="Group 138">
              <a:extLst>
                <a:ext uri="{FF2B5EF4-FFF2-40B4-BE49-F238E27FC236}">
                  <a16:creationId xmlns:a16="http://schemas.microsoft.com/office/drawing/2014/main" id="{00000000-0008-0000-0100-0000FC000000}"/>
                </a:ext>
              </a:extLst>
            </xdr:cNvPr>
            <xdr:cNvGrpSpPr>
              <a:grpSpLocks/>
            </xdr:cNvGrpSpPr>
          </xdr:nvGrpSpPr>
          <xdr:grpSpPr bwMode="auto">
            <a:xfrm>
              <a:off x="1035" y="1166"/>
              <a:ext cx="186" cy="59"/>
              <a:chOff x="1035" y="1166"/>
              <a:chExt cx="186" cy="59"/>
            </a:xfrm>
          </xdr:grpSpPr>
          <xdr:sp macro="" textlink="">
            <xdr:nvSpPr>
              <xdr:cNvPr id="253" name="Rectangle 139">
                <a:extLst>
                  <a:ext uri="{FF2B5EF4-FFF2-40B4-BE49-F238E27FC236}">
                    <a16:creationId xmlns:a16="http://schemas.microsoft.com/office/drawing/2014/main" id="{00000000-0008-0000-0100-0000FD000000}"/>
                  </a:ext>
                </a:extLst>
              </xdr:cNvPr>
              <xdr:cNvSpPr>
                <a:spLocks noChangeArrowheads="1"/>
              </xdr:cNvSpPr>
            </xdr:nvSpPr>
            <xdr:spPr bwMode="auto">
              <a:xfrm>
                <a:off x="1035" y="1166"/>
                <a:ext cx="186" cy="1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54" name="Group 140">
                <a:extLst>
                  <a:ext uri="{FF2B5EF4-FFF2-40B4-BE49-F238E27FC236}">
                    <a16:creationId xmlns:a16="http://schemas.microsoft.com/office/drawing/2014/main" id="{00000000-0008-0000-0100-0000FE000000}"/>
                  </a:ext>
                </a:extLst>
              </xdr:cNvPr>
              <xdr:cNvGrpSpPr>
                <a:grpSpLocks/>
              </xdr:cNvGrpSpPr>
            </xdr:nvGrpSpPr>
            <xdr:grpSpPr bwMode="auto">
              <a:xfrm>
                <a:off x="1081" y="1189"/>
                <a:ext cx="98" cy="36"/>
                <a:chOff x="992" y="763"/>
                <a:chExt cx="98" cy="59"/>
              </a:xfrm>
            </xdr:grpSpPr>
            <xdr:sp macro="" textlink="">
              <xdr:nvSpPr>
                <xdr:cNvPr id="255" name="Oval 141">
                  <a:extLst>
                    <a:ext uri="{FF2B5EF4-FFF2-40B4-BE49-F238E27FC236}">
                      <a16:creationId xmlns:a16="http://schemas.microsoft.com/office/drawing/2014/main" id="{00000000-0008-0000-0100-0000FF000000}"/>
                    </a:ext>
                  </a:extLst>
                </xdr:cNvPr>
                <xdr:cNvSpPr>
                  <a:spLocks noChangeArrowheads="1"/>
                </xdr:cNvSpPr>
              </xdr:nvSpPr>
              <xdr:spPr bwMode="auto">
                <a:xfrm>
                  <a:off x="1034" y="810"/>
                  <a:ext cx="14" cy="12"/>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6" name="Group 142">
                  <a:extLst>
                    <a:ext uri="{FF2B5EF4-FFF2-40B4-BE49-F238E27FC236}">
                      <a16:creationId xmlns:a16="http://schemas.microsoft.com/office/drawing/2014/main" id="{00000000-0008-0000-0100-000000010000}"/>
                    </a:ext>
                  </a:extLst>
                </xdr:cNvPr>
                <xdr:cNvGrpSpPr>
                  <a:grpSpLocks/>
                </xdr:cNvGrpSpPr>
              </xdr:nvGrpSpPr>
              <xdr:grpSpPr bwMode="auto">
                <a:xfrm>
                  <a:off x="992" y="763"/>
                  <a:ext cx="98" cy="27"/>
                  <a:chOff x="1210" y="756"/>
                  <a:chExt cx="124" cy="27"/>
                </a:xfrm>
              </xdr:grpSpPr>
              <xdr:grpSp>
                <xdr:nvGrpSpPr>
                  <xdr:cNvPr id="261" name="Group 143">
                    <a:extLst>
                      <a:ext uri="{FF2B5EF4-FFF2-40B4-BE49-F238E27FC236}">
                        <a16:creationId xmlns:a16="http://schemas.microsoft.com/office/drawing/2014/main" id="{00000000-0008-0000-0100-000005010000}"/>
                      </a:ext>
                    </a:extLst>
                  </xdr:cNvPr>
                  <xdr:cNvGrpSpPr>
                    <a:grpSpLocks/>
                  </xdr:cNvGrpSpPr>
                </xdr:nvGrpSpPr>
                <xdr:grpSpPr bwMode="auto">
                  <a:xfrm>
                    <a:off x="1210" y="756"/>
                    <a:ext cx="63" cy="27"/>
                    <a:chOff x="1210" y="756"/>
                    <a:chExt cx="63" cy="27"/>
                  </a:xfrm>
                </xdr:grpSpPr>
                <xdr:sp macro="" textlink="">
                  <xdr:nvSpPr>
                    <xdr:cNvPr id="265" name="Oval 144">
                      <a:extLst>
                        <a:ext uri="{FF2B5EF4-FFF2-40B4-BE49-F238E27FC236}">
                          <a16:creationId xmlns:a16="http://schemas.microsoft.com/office/drawing/2014/main" id="{00000000-0008-0000-0100-00000901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6" name="AutoShape 145">
                      <a:extLst>
                        <a:ext uri="{FF2B5EF4-FFF2-40B4-BE49-F238E27FC236}">
                          <a16:creationId xmlns:a16="http://schemas.microsoft.com/office/drawing/2014/main" id="{00000000-0008-0000-0100-00000A01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262" name="Group 146">
                    <a:extLst>
                      <a:ext uri="{FF2B5EF4-FFF2-40B4-BE49-F238E27FC236}">
                        <a16:creationId xmlns:a16="http://schemas.microsoft.com/office/drawing/2014/main" id="{00000000-0008-0000-0100-000006010000}"/>
                      </a:ext>
                    </a:extLst>
                  </xdr:cNvPr>
                  <xdr:cNvGrpSpPr>
                    <a:grpSpLocks/>
                  </xdr:cNvGrpSpPr>
                </xdr:nvGrpSpPr>
                <xdr:grpSpPr bwMode="auto">
                  <a:xfrm flipH="1">
                    <a:off x="1271" y="756"/>
                    <a:ext cx="63" cy="27"/>
                    <a:chOff x="1210" y="756"/>
                    <a:chExt cx="63" cy="27"/>
                  </a:xfrm>
                </xdr:grpSpPr>
                <xdr:sp macro="" textlink="">
                  <xdr:nvSpPr>
                    <xdr:cNvPr id="263" name="Oval 147">
                      <a:extLst>
                        <a:ext uri="{FF2B5EF4-FFF2-40B4-BE49-F238E27FC236}">
                          <a16:creationId xmlns:a16="http://schemas.microsoft.com/office/drawing/2014/main" id="{00000000-0008-0000-0100-00000701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4" name="AutoShape 148">
                      <a:extLst>
                        <a:ext uri="{FF2B5EF4-FFF2-40B4-BE49-F238E27FC236}">
                          <a16:creationId xmlns:a16="http://schemas.microsoft.com/office/drawing/2014/main" id="{00000000-0008-0000-0100-00000801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257" name="Line 149">
                  <a:extLst>
                    <a:ext uri="{FF2B5EF4-FFF2-40B4-BE49-F238E27FC236}">
                      <a16:creationId xmlns:a16="http://schemas.microsoft.com/office/drawing/2014/main" id="{00000000-0008-0000-0100-000001010000}"/>
                    </a:ext>
                  </a:extLst>
                </xdr:cNvPr>
                <xdr:cNvSpPr>
                  <a:spLocks noChangeShapeType="1"/>
                </xdr:cNvSpPr>
              </xdr:nvSpPr>
              <xdr:spPr bwMode="auto">
                <a:xfrm>
                  <a:off x="1041" y="777"/>
                  <a:ext cx="0"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258" name="Group 150">
                  <a:extLst>
                    <a:ext uri="{FF2B5EF4-FFF2-40B4-BE49-F238E27FC236}">
                      <a16:creationId xmlns:a16="http://schemas.microsoft.com/office/drawing/2014/main" id="{00000000-0008-0000-0100-000002010000}"/>
                    </a:ext>
                  </a:extLst>
                </xdr:cNvPr>
                <xdr:cNvGrpSpPr>
                  <a:grpSpLocks/>
                </xdr:cNvGrpSpPr>
              </xdr:nvGrpSpPr>
              <xdr:grpSpPr bwMode="auto">
                <a:xfrm>
                  <a:off x="1035" y="784"/>
                  <a:ext cx="12" cy="31"/>
                  <a:chOff x="1039" y="785"/>
                  <a:chExt cx="12" cy="31"/>
                </a:xfrm>
              </xdr:grpSpPr>
              <xdr:sp macro="" textlink="">
                <xdr:nvSpPr>
                  <xdr:cNvPr id="259" name="Oval 151">
                    <a:extLst>
                      <a:ext uri="{FF2B5EF4-FFF2-40B4-BE49-F238E27FC236}">
                        <a16:creationId xmlns:a16="http://schemas.microsoft.com/office/drawing/2014/main" id="{00000000-0008-0000-0100-000003010000}"/>
                      </a:ext>
                    </a:extLst>
                  </xdr:cNvPr>
                  <xdr:cNvSpPr>
                    <a:spLocks noChangeArrowheads="1"/>
                  </xdr:cNvSpPr>
                </xdr:nvSpPr>
                <xdr:spPr bwMode="auto">
                  <a:xfrm>
                    <a:off x="1039" y="785"/>
                    <a:ext cx="12" cy="8"/>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260" name="Rectangle 152">
                    <a:extLst>
                      <a:ext uri="{FF2B5EF4-FFF2-40B4-BE49-F238E27FC236}">
                        <a16:creationId xmlns:a16="http://schemas.microsoft.com/office/drawing/2014/main" id="{00000000-0008-0000-0100-000004010000}"/>
                      </a:ext>
                    </a:extLst>
                  </xdr:cNvPr>
                  <xdr:cNvSpPr>
                    <a:spLocks noChangeArrowheads="1"/>
                  </xdr:cNvSpPr>
                </xdr:nvSpPr>
                <xdr:spPr bwMode="auto">
                  <a:xfrm>
                    <a:off x="1039" y="790"/>
                    <a:ext cx="12" cy="26"/>
                  </a:xfrm>
                  <a:prstGeom prst="rect">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sp macro="" textlink="">
        <xdr:nvSpPr>
          <xdr:cNvPr id="250" name="Rectangle 153">
            <a:extLst>
              <a:ext uri="{FF2B5EF4-FFF2-40B4-BE49-F238E27FC236}">
                <a16:creationId xmlns:a16="http://schemas.microsoft.com/office/drawing/2014/main" id="{00000000-0008-0000-0100-0000FA000000}"/>
              </a:ext>
            </a:extLst>
          </xdr:cNvPr>
          <xdr:cNvSpPr>
            <a:spLocks noChangeArrowheads="1"/>
          </xdr:cNvSpPr>
        </xdr:nvSpPr>
        <xdr:spPr bwMode="auto">
          <a:xfrm>
            <a:off x="1168" y="893"/>
            <a:ext cx="29" cy="1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212725</xdr:colOff>
      <xdr:row>6</xdr:row>
      <xdr:rowOff>82732</xdr:rowOff>
    </xdr:from>
    <xdr:to>
      <xdr:col>15</xdr:col>
      <xdr:colOff>535733</xdr:colOff>
      <xdr:row>9</xdr:row>
      <xdr:rowOff>171900</xdr:rowOff>
    </xdr:to>
    <xdr:cxnSp macro="">
      <xdr:nvCxnSpPr>
        <xdr:cNvPr id="312" name="Elbow Connector 311">
          <a:extLst>
            <a:ext uri="{FF2B5EF4-FFF2-40B4-BE49-F238E27FC236}">
              <a16:creationId xmlns:a16="http://schemas.microsoft.com/office/drawing/2014/main" id="{00000000-0008-0000-0100-000038010000}"/>
            </a:ext>
          </a:extLst>
        </xdr:cNvPr>
        <xdr:cNvCxnSpPr>
          <a:stCxn id="253" idx="1"/>
          <a:endCxn id="47" idx="1"/>
        </xdr:cNvCxnSpPr>
      </xdr:nvCxnSpPr>
      <xdr:spPr>
        <a:xfrm>
          <a:off x="9813925" y="844732"/>
          <a:ext cx="323008" cy="66066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571500</xdr:colOff>
      <xdr:row>6</xdr:row>
      <xdr:rowOff>28575</xdr:rowOff>
    </xdr:from>
    <xdr:to>
      <xdr:col>17</xdr:col>
      <xdr:colOff>469900</xdr:colOff>
      <xdr:row>7</xdr:row>
      <xdr:rowOff>66675</xdr:rowOff>
    </xdr:to>
    <xdr:grpSp>
      <xdr:nvGrpSpPr>
        <xdr:cNvPr id="315" name="Group 91">
          <a:extLst>
            <a:ext uri="{FF2B5EF4-FFF2-40B4-BE49-F238E27FC236}">
              <a16:creationId xmlns:a16="http://schemas.microsoft.com/office/drawing/2014/main" id="{00000000-0008-0000-0100-00003B010000}"/>
            </a:ext>
          </a:extLst>
        </xdr:cNvPr>
        <xdr:cNvGrpSpPr>
          <a:grpSpLocks/>
        </xdr:cNvGrpSpPr>
      </xdr:nvGrpSpPr>
      <xdr:grpSpPr bwMode="auto">
        <a:xfrm flipH="1">
          <a:off x="11819404" y="1247215"/>
          <a:ext cx="542739" cy="234203"/>
          <a:chOff x="982" y="878"/>
          <a:chExt cx="215" cy="70"/>
        </a:xfrm>
      </xdr:grpSpPr>
      <xdr:grpSp>
        <xdr:nvGrpSpPr>
          <xdr:cNvPr id="316" name="Group 92">
            <a:extLst>
              <a:ext uri="{FF2B5EF4-FFF2-40B4-BE49-F238E27FC236}">
                <a16:creationId xmlns:a16="http://schemas.microsoft.com/office/drawing/2014/main" id="{00000000-0008-0000-0100-00003C010000}"/>
              </a:ext>
            </a:extLst>
          </xdr:cNvPr>
          <xdr:cNvGrpSpPr>
            <a:grpSpLocks/>
          </xdr:cNvGrpSpPr>
        </xdr:nvGrpSpPr>
        <xdr:grpSpPr bwMode="auto">
          <a:xfrm>
            <a:off x="982" y="878"/>
            <a:ext cx="186" cy="70"/>
            <a:chOff x="1035" y="1155"/>
            <a:chExt cx="186" cy="70"/>
          </a:xfrm>
        </xdr:grpSpPr>
        <xdr:grpSp>
          <xdr:nvGrpSpPr>
            <xdr:cNvPr id="318" name="Group 93">
              <a:extLst>
                <a:ext uri="{FF2B5EF4-FFF2-40B4-BE49-F238E27FC236}">
                  <a16:creationId xmlns:a16="http://schemas.microsoft.com/office/drawing/2014/main" id="{00000000-0008-0000-0100-00003E010000}"/>
                </a:ext>
              </a:extLst>
            </xdr:cNvPr>
            <xdr:cNvGrpSpPr>
              <a:grpSpLocks/>
            </xdr:cNvGrpSpPr>
          </xdr:nvGrpSpPr>
          <xdr:grpSpPr bwMode="auto">
            <a:xfrm>
              <a:off x="1039" y="1155"/>
              <a:ext cx="179" cy="8"/>
              <a:chOff x="1039" y="1155"/>
              <a:chExt cx="179" cy="8"/>
            </a:xfrm>
          </xdr:grpSpPr>
          <xdr:grpSp>
            <xdr:nvGrpSpPr>
              <xdr:cNvPr id="334" name="Group 94">
                <a:extLst>
                  <a:ext uri="{FF2B5EF4-FFF2-40B4-BE49-F238E27FC236}">
                    <a16:creationId xmlns:a16="http://schemas.microsoft.com/office/drawing/2014/main" id="{00000000-0008-0000-0100-00004E010000}"/>
                  </a:ext>
                </a:extLst>
              </xdr:cNvPr>
              <xdr:cNvGrpSpPr>
                <a:grpSpLocks/>
              </xdr:cNvGrpSpPr>
            </xdr:nvGrpSpPr>
            <xdr:grpSpPr bwMode="auto">
              <a:xfrm>
                <a:off x="1171" y="1156"/>
                <a:ext cx="47" cy="7"/>
                <a:chOff x="962" y="700"/>
                <a:chExt cx="47" cy="7"/>
              </a:xfrm>
            </xdr:grpSpPr>
            <xdr:grpSp>
              <xdr:nvGrpSpPr>
                <xdr:cNvPr id="366" name="Group 95">
                  <a:extLst>
                    <a:ext uri="{FF2B5EF4-FFF2-40B4-BE49-F238E27FC236}">
                      <a16:creationId xmlns:a16="http://schemas.microsoft.com/office/drawing/2014/main" id="{00000000-0008-0000-0100-00006E010000}"/>
                    </a:ext>
                  </a:extLst>
                </xdr:cNvPr>
                <xdr:cNvGrpSpPr>
                  <a:grpSpLocks/>
                </xdr:cNvGrpSpPr>
              </xdr:nvGrpSpPr>
              <xdr:grpSpPr bwMode="auto">
                <a:xfrm>
                  <a:off x="962" y="700"/>
                  <a:ext cx="11" cy="7"/>
                  <a:chOff x="991" y="691"/>
                  <a:chExt cx="11" cy="7"/>
                </a:xfrm>
              </xdr:grpSpPr>
              <xdr:sp macro="" textlink="">
                <xdr:nvSpPr>
                  <xdr:cNvPr id="376" name="Line 96">
                    <a:extLst>
                      <a:ext uri="{FF2B5EF4-FFF2-40B4-BE49-F238E27FC236}">
                        <a16:creationId xmlns:a16="http://schemas.microsoft.com/office/drawing/2014/main" id="{00000000-0008-0000-0100-000078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7" name="Line 97">
                    <a:extLst>
                      <a:ext uri="{FF2B5EF4-FFF2-40B4-BE49-F238E27FC236}">
                        <a16:creationId xmlns:a16="http://schemas.microsoft.com/office/drawing/2014/main" id="{00000000-0008-0000-0100-000079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67" name="Group 98">
                  <a:extLst>
                    <a:ext uri="{FF2B5EF4-FFF2-40B4-BE49-F238E27FC236}">
                      <a16:creationId xmlns:a16="http://schemas.microsoft.com/office/drawing/2014/main" id="{00000000-0008-0000-0100-00006F010000}"/>
                    </a:ext>
                  </a:extLst>
                </xdr:cNvPr>
                <xdr:cNvGrpSpPr>
                  <a:grpSpLocks/>
                </xdr:cNvGrpSpPr>
              </xdr:nvGrpSpPr>
              <xdr:grpSpPr bwMode="auto">
                <a:xfrm>
                  <a:off x="974" y="700"/>
                  <a:ext cx="11" cy="7"/>
                  <a:chOff x="991" y="691"/>
                  <a:chExt cx="11" cy="7"/>
                </a:xfrm>
              </xdr:grpSpPr>
              <xdr:sp macro="" textlink="">
                <xdr:nvSpPr>
                  <xdr:cNvPr id="374" name="Line 99">
                    <a:extLst>
                      <a:ext uri="{FF2B5EF4-FFF2-40B4-BE49-F238E27FC236}">
                        <a16:creationId xmlns:a16="http://schemas.microsoft.com/office/drawing/2014/main" id="{00000000-0008-0000-0100-000076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5" name="Line 100">
                    <a:extLst>
                      <a:ext uri="{FF2B5EF4-FFF2-40B4-BE49-F238E27FC236}">
                        <a16:creationId xmlns:a16="http://schemas.microsoft.com/office/drawing/2014/main" id="{00000000-0008-0000-0100-000077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68" name="Group 101">
                  <a:extLst>
                    <a:ext uri="{FF2B5EF4-FFF2-40B4-BE49-F238E27FC236}">
                      <a16:creationId xmlns:a16="http://schemas.microsoft.com/office/drawing/2014/main" id="{00000000-0008-0000-0100-000070010000}"/>
                    </a:ext>
                  </a:extLst>
                </xdr:cNvPr>
                <xdr:cNvGrpSpPr>
                  <a:grpSpLocks/>
                </xdr:cNvGrpSpPr>
              </xdr:nvGrpSpPr>
              <xdr:grpSpPr bwMode="auto">
                <a:xfrm>
                  <a:off x="986" y="700"/>
                  <a:ext cx="11" cy="7"/>
                  <a:chOff x="991" y="691"/>
                  <a:chExt cx="11" cy="7"/>
                </a:xfrm>
              </xdr:grpSpPr>
              <xdr:sp macro="" textlink="">
                <xdr:nvSpPr>
                  <xdr:cNvPr id="372" name="Line 102">
                    <a:extLst>
                      <a:ext uri="{FF2B5EF4-FFF2-40B4-BE49-F238E27FC236}">
                        <a16:creationId xmlns:a16="http://schemas.microsoft.com/office/drawing/2014/main" id="{00000000-0008-0000-0100-000074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3" name="Line 103">
                    <a:extLst>
                      <a:ext uri="{FF2B5EF4-FFF2-40B4-BE49-F238E27FC236}">
                        <a16:creationId xmlns:a16="http://schemas.microsoft.com/office/drawing/2014/main" id="{00000000-0008-0000-0100-000075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69" name="Group 104">
                  <a:extLst>
                    <a:ext uri="{FF2B5EF4-FFF2-40B4-BE49-F238E27FC236}">
                      <a16:creationId xmlns:a16="http://schemas.microsoft.com/office/drawing/2014/main" id="{00000000-0008-0000-0100-000071010000}"/>
                    </a:ext>
                  </a:extLst>
                </xdr:cNvPr>
                <xdr:cNvGrpSpPr>
                  <a:grpSpLocks/>
                </xdr:cNvGrpSpPr>
              </xdr:nvGrpSpPr>
              <xdr:grpSpPr bwMode="auto">
                <a:xfrm>
                  <a:off x="998" y="700"/>
                  <a:ext cx="11" cy="7"/>
                  <a:chOff x="991" y="691"/>
                  <a:chExt cx="11" cy="7"/>
                </a:xfrm>
              </xdr:grpSpPr>
              <xdr:sp macro="" textlink="">
                <xdr:nvSpPr>
                  <xdr:cNvPr id="370" name="Line 105">
                    <a:extLst>
                      <a:ext uri="{FF2B5EF4-FFF2-40B4-BE49-F238E27FC236}">
                        <a16:creationId xmlns:a16="http://schemas.microsoft.com/office/drawing/2014/main" id="{00000000-0008-0000-0100-000072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1" name="Line 106">
                    <a:extLst>
                      <a:ext uri="{FF2B5EF4-FFF2-40B4-BE49-F238E27FC236}">
                        <a16:creationId xmlns:a16="http://schemas.microsoft.com/office/drawing/2014/main" id="{00000000-0008-0000-0100-000073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335" name="Group 334">
                <a:extLst>
                  <a:ext uri="{FF2B5EF4-FFF2-40B4-BE49-F238E27FC236}">
                    <a16:creationId xmlns:a16="http://schemas.microsoft.com/office/drawing/2014/main" id="{00000000-0008-0000-0100-00004F010000}"/>
                  </a:ext>
                </a:extLst>
              </xdr:cNvPr>
              <xdr:cNvGrpSpPr>
                <a:grpSpLocks/>
              </xdr:cNvGrpSpPr>
            </xdr:nvGrpSpPr>
            <xdr:grpSpPr bwMode="auto">
              <a:xfrm>
                <a:off x="1122" y="1156"/>
                <a:ext cx="47" cy="7"/>
                <a:chOff x="962" y="700"/>
                <a:chExt cx="47" cy="7"/>
              </a:xfrm>
            </xdr:grpSpPr>
            <xdr:grpSp>
              <xdr:nvGrpSpPr>
                <xdr:cNvPr id="354" name="Group 108">
                  <a:extLst>
                    <a:ext uri="{FF2B5EF4-FFF2-40B4-BE49-F238E27FC236}">
                      <a16:creationId xmlns:a16="http://schemas.microsoft.com/office/drawing/2014/main" id="{00000000-0008-0000-0100-000062010000}"/>
                    </a:ext>
                  </a:extLst>
                </xdr:cNvPr>
                <xdr:cNvGrpSpPr>
                  <a:grpSpLocks/>
                </xdr:cNvGrpSpPr>
              </xdr:nvGrpSpPr>
              <xdr:grpSpPr bwMode="auto">
                <a:xfrm>
                  <a:off x="962" y="700"/>
                  <a:ext cx="11" cy="7"/>
                  <a:chOff x="991" y="691"/>
                  <a:chExt cx="11" cy="7"/>
                </a:xfrm>
              </xdr:grpSpPr>
              <xdr:sp macro="" textlink="">
                <xdr:nvSpPr>
                  <xdr:cNvPr id="364" name="Line 109">
                    <a:extLst>
                      <a:ext uri="{FF2B5EF4-FFF2-40B4-BE49-F238E27FC236}">
                        <a16:creationId xmlns:a16="http://schemas.microsoft.com/office/drawing/2014/main" id="{00000000-0008-0000-0100-00006C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5" name="Line 110">
                    <a:extLst>
                      <a:ext uri="{FF2B5EF4-FFF2-40B4-BE49-F238E27FC236}">
                        <a16:creationId xmlns:a16="http://schemas.microsoft.com/office/drawing/2014/main" id="{00000000-0008-0000-0100-00006D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55" name="Group 111">
                  <a:extLst>
                    <a:ext uri="{FF2B5EF4-FFF2-40B4-BE49-F238E27FC236}">
                      <a16:creationId xmlns:a16="http://schemas.microsoft.com/office/drawing/2014/main" id="{00000000-0008-0000-0100-000063010000}"/>
                    </a:ext>
                  </a:extLst>
                </xdr:cNvPr>
                <xdr:cNvGrpSpPr>
                  <a:grpSpLocks/>
                </xdr:cNvGrpSpPr>
              </xdr:nvGrpSpPr>
              <xdr:grpSpPr bwMode="auto">
                <a:xfrm>
                  <a:off x="974" y="700"/>
                  <a:ext cx="11" cy="7"/>
                  <a:chOff x="991" y="691"/>
                  <a:chExt cx="11" cy="7"/>
                </a:xfrm>
              </xdr:grpSpPr>
              <xdr:sp macro="" textlink="">
                <xdr:nvSpPr>
                  <xdr:cNvPr id="362" name="Line 112">
                    <a:extLst>
                      <a:ext uri="{FF2B5EF4-FFF2-40B4-BE49-F238E27FC236}">
                        <a16:creationId xmlns:a16="http://schemas.microsoft.com/office/drawing/2014/main" id="{00000000-0008-0000-0100-00006A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3" name="Line 113">
                    <a:extLst>
                      <a:ext uri="{FF2B5EF4-FFF2-40B4-BE49-F238E27FC236}">
                        <a16:creationId xmlns:a16="http://schemas.microsoft.com/office/drawing/2014/main" id="{00000000-0008-0000-0100-00006B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56" name="Group 114">
                  <a:extLst>
                    <a:ext uri="{FF2B5EF4-FFF2-40B4-BE49-F238E27FC236}">
                      <a16:creationId xmlns:a16="http://schemas.microsoft.com/office/drawing/2014/main" id="{00000000-0008-0000-0100-000064010000}"/>
                    </a:ext>
                  </a:extLst>
                </xdr:cNvPr>
                <xdr:cNvGrpSpPr>
                  <a:grpSpLocks/>
                </xdr:cNvGrpSpPr>
              </xdr:nvGrpSpPr>
              <xdr:grpSpPr bwMode="auto">
                <a:xfrm>
                  <a:off x="986" y="700"/>
                  <a:ext cx="11" cy="7"/>
                  <a:chOff x="991" y="691"/>
                  <a:chExt cx="11" cy="7"/>
                </a:xfrm>
              </xdr:grpSpPr>
              <xdr:sp macro="" textlink="">
                <xdr:nvSpPr>
                  <xdr:cNvPr id="360" name="Line 115">
                    <a:extLst>
                      <a:ext uri="{FF2B5EF4-FFF2-40B4-BE49-F238E27FC236}">
                        <a16:creationId xmlns:a16="http://schemas.microsoft.com/office/drawing/2014/main" id="{00000000-0008-0000-0100-000068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1" name="Line 116">
                    <a:extLst>
                      <a:ext uri="{FF2B5EF4-FFF2-40B4-BE49-F238E27FC236}">
                        <a16:creationId xmlns:a16="http://schemas.microsoft.com/office/drawing/2014/main" id="{00000000-0008-0000-0100-000069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57" name="Group 117">
                  <a:extLst>
                    <a:ext uri="{FF2B5EF4-FFF2-40B4-BE49-F238E27FC236}">
                      <a16:creationId xmlns:a16="http://schemas.microsoft.com/office/drawing/2014/main" id="{00000000-0008-0000-0100-000065010000}"/>
                    </a:ext>
                  </a:extLst>
                </xdr:cNvPr>
                <xdr:cNvGrpSpPr>
                  <a:grpSpLocks/>
                </xdr:cNvGrpSpPr>
              </xdr:nvGrpSpPr>
              <xdr:grpSpPr bwMode="auto">
                <a:xfrm>
                  <a:off x="998" y="700"/>
                  <a:ext cx="11" cy="7"/>
                  <a:chOff x="991" y="691"/>
                  <a:chExt cx="11" cy="7"/>
                </a:xfrm>
              </xdr:grpSpPr>
              <xdr:sp macro="" textlink="">
                <xdr:nvSpPr>
                  <xdr:cNvPr id="358" name="Line 118">
                    <a:extLst>
                      <a:ext uri="{FF2B5EF4-FFF2-40B4-BE49-F238E27FC236}">
                        <a16:creationId xmlns:a16="http://schemas.microsoft.com/office/drawing/2014/main" id="{00000000-0008-0000-0100-000066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9" name="Line 119">
                    <a:extLst>
                      <a:ext uri="{FF2B5EF4-FFF2-40B4-BE49-F238E27FC236}">
                        <a16:creationId xmlns:a16="http://schemas.microsoft.com/office/drawing/2014/main" id="{00000000-0008-0000-0100-000067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grpSp>
            <xdr:nvGrpSpPr>
              <xdr:cNvPr id="336" name="Group 120">
                <a:extLst>
                  <a:ext uri="{FF2B5EF4-FFF2-40B4-BE49-F238E27FC236}">
                    <a16:creationId xmlns:a16="http://schemas.microsoft.com/office/drawing/2014/main" id="{00000000-0008-0000-0100-000050010000}"/>
                  </a:ext>
                </a:extLst>
              </xdr:cNvPr>
              <xdr:cNvGrpSpPr>
                <a:grpSpLocks/>
              </xdr:cNvGrpSpPr>
            </xdr:nvGrpSpPr>
            <xdr:grpSpPr bwMode="auto">
              <a:xfrm>
                <a:off x="1039" y="1155"/>
                <a:ext cx="66" cy="7"/>
                <a:chOff x="1039" y="1155"/>
                <a:chExt cx="66" cy="7"/>
              </a:xfrm>
            </xdr:grpSpPr>
            <xdr:grpSp>
              <xdr:nvGrpSpPr>
                <xdr:cNvPr id="338" name="Group 121">
                  <a:extLst>
                    <a:ext uri="{FF2B5EF4-FFF2-40B4-BE49-F238E27FC236}">
                      <a16:creationId xmlns:a16="http://schemas.microsoft.com/office/drawing/2014/main" id="{00000000-0008-0000-0100-000052010000}"/>
                    </a:ext>
                  </a:extLst>
                </xdr:cNvPr>
                <xdr:cNvGrpSpPr>
                  <a:grpSpLocks/>
                </xdr:cNvGrpSpPr>
              </xdr:nvGrpSpPr>
              <xdr:grpSpPr bwMode="auto">
                <a:xfrm>
                  <a:off x="1039" y="1155"/>
                  <a:ext cx="11" cy="7"/>
                  <a:chOff x="991" y="691"/>
                  <a:chExt cx="11" cy="7"/>
                </a:xfrm>
              </xdr:grpSpPr>
              <xdr:sp macro="" textlink="">
                <xdr:nvSpPr>
                  <xdr:cNvPr id="352" name="Line 122">
                    <a:extLst>
                      <a:ext uri="{FF2B5EF4-FFF2-40B4-BE49-F238E27FC236}">
                        <a16:creationId xmlns:a16="http://schemas.microsoft.com/office/drawing/2014/main" id="{00000000-0008-0000-0100-000060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3" name="Line 123">
                    <a:extLst>
                      <a:ext uri="{FF2B5EF4-FFF2-40B4-BE49-F238E27FC236}">
                        <a16:creationId xmlns:a16="http://schemas.microsoft.com/office/drawing/2014/main" id="{00000000-0008-0000-0100-000061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39" name="Group 124">
                  <a:extLst>
                    <a:ext uri="{FF2B5EF4-FFF2-40B4-BE49-F238E27FC236}">
                      <a16:creationId xmlns:a16="http://schemas.microsoft.com/office/drawing/2014/main" id="{00000000-0008-0000-0100-000053010000}"/>
                    </a:ext>
                  </a:extLst>
                </xdr:cNvPr>
                <xdr:cNvGrpSpPr>
                  <a:grpSpLocks/>
                </xdr:cNvGrpSpPr>
              </xdr:nvGrpSpPr>
              <xdr:grpSpPr bwMode="auto">
                <a:xfrm>
                  <a:off x="1051" y="1155"/>
                  <a:ext cx="11" cy="7"/>
                  <a:chOff x="991" y="691"/>
                  <a:chExt cx="11" cy="7"/>
                </a:xfrm>
              </xdr:grpSpPr>
              <xdr:sp macro="" textlink="">
                <xdr:nvSpPr>
                  <xdr:cNvPr id="350" name="Line 125">
                    <a:extLst>
                      <a:ext uri="{FF2B5EF4-FFF2-40B4-BE49-F238E27FC236}">
                        <a16:creationId xmlns:a16="http://schemas.microsoft.com/office/drawing/2014/main" id="{00000000-0008-0000-0100-00005E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1" name="Line 126">
                    <a:extLst>
                      <a:ext uri="{FF2B5EF4-FFF2-40B4-BE49-F238E27FC236}">
                        <a16:creationId xmlns:a16="http://schemas.microsoft.com/office/drawing/2014/main" id="{00000000-0008-0000-0100-00005F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40" name="Group 127">
                  <a:extLst>
                    <a:ext uri="{FF2B5EF4-FFF2-40B4-BE49-F238E27FC236}">
                      <a16:creationId xmlns:a16="http://schemas.microsoft.com/office/drawing/2014/main" id="{00000000-0008-0000-0100-000054010000}"/>
                    </a:ext>
                  </a:extLst>
                </xdr:cNvPr>
                <xdr:cNvGrpSpPr>
                  <a:grpSpLocks/>
                </xdr:cNvGrpSpPr>
              </xdr:nvGrpSpPr>
              <xdr:grpSpPr bwMode="auto">
                <a:xfrm>
                  <a:off x="1063" y="1155"/>
                  <a:ext cx="11" cy="7"/>
                  <a:chOff x="991" y="691"/>
                  <a:chExt cx="11" cy="7"/>
                </a:xfrm>
              </xdr:grpSpPr>
              <xdr:sp macro="" textlink="">
                <xdr:nvSpPr>
                  <xdr:cNvPr id="348" name="Line 128">
                    <a:extLst>
                      <a:ext uri="{FF2B5EF4-FFF2-40B4-BE49-F238E27FC236}">
                        <a16:creationId xmlns:a16="http://schemas.microsoft.com/office/drawing/2014/main" id="{00000000-0008-0000-0100-00005C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9" name="Line 129">
                    <a:extLst>
                      <a:ext uri="{FF2B5EF4-FFF2-40B4-BE49-F238E27FC236}">
                        <a16:creationId xmlns:a16="http://schemas.microsoft.com/office/drawing/2014/main" id="{00000000-0008-0000-0100-00005D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41" name="Group 130">
                  <a:extLst>
                    <a:ext uri="{FF2B5EF4-FFF2-40B4-BE49-F238E27FC236}">
                      <a16:creationId xmlns:a16="http://schemas.microsoft.com/office/drawing/2014/main" id="{00000000-0008-0000-0100-000055010000}"/>
                    </a:ext>
                  </a:extLst>
                </xdr:cNvPr>
                <xdr:cNvGrpSpPr>
                  <a:grpSpLocks/>
                </xdr:cNvGrpSpPr>
              </xdr:nvGrpSpPr>
              <xdr:grpSpPr bwMode="auto">
                <a:xfrm>
                  <a:off x="1075" y="1155"/>
                  <a:ext cx="11" cy="7"/>
                  <a:chOff x="991" y="691"/>
                  <a:chExt cx="11" cy="7"/>
                </a:xfrm>
              </xdr:grpSpPr>
              <xdr:sp macro="" textlink="">
                <xdr:nvSpPr>
                  <xdr:cNvPr id="346" name="Line 131">
                    <a:extLst>
                      <a:ext uri="{FF2B5EF4-FFF2-40B4-BE49-F238E27FC236}">
                        <a16:creationId xmlns:a16="http://schemas.microsoft.com/office/drawing/2014/main" id="{00000000-0008-0000-0100-00005A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7" name="Line 132">
                    <a:extLst>
                      <a:ext uri="{FF2B5EF4-FFF2-40B4-BE49-F238E27FC236}">
                        <a16:creationId xmlns:a16="http://schemas.microsoft.com/office/drawing/2014/main" id="{00000000-0008-0000-0100-00005B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42" name="Group 133">
                  <a:extLst>
                    <a:ext uri="{FF2B5EF4-FFF2-40B4-BE49-F238E27FC236}">
                      <a16:creationId xmlns:a16="http://schemas.microsoft.com/office/drawing/2014/main" id="{00000000-0008-0000-0100-000056010000}"/>
                    </a:ext>
                  </a:extLst>
                </xdr:cNvPr>
                <xdr:cNvGrpSpPr>
                  <a:grpSpLocks/>
                </xdr:cNvGrpSpPr>
              </xdr:nvGrpSpPr>
              <xdr:grpSpPr bwMode="auto">
                <a:xfrm>
                  <a:off x="1086" y="1155"/>
                  <a:ext cx="11" cy="7"/>
                  <a:chOff x="991" y="691"/>
                  <a:chExt cx="11" cy="7"/>
                </a:xfrm>
              </xdr:grpSpPr>
              <xdr:sp macro="" textlink="">
                <xdr:nvSpPr>
                  <xdr:cNvPr id="344" name="Line 134">
                    <a:extLst>
                      <a:ext uri="{FF2B5EF4-FFF2-40B4-BE49-F238E27FC236}">
                        <a16:creationId xmlns:a16="http://schemas.microsoft.com/office/drawing/2014/main" id="{00000000-0008-0000-0100-000058010000}"/>
                      </a:ext>
                    </a:extLst>
                  </xdr:cNvPr>
                  <xdr:cNvSpPr>
                    <a:spLocks noChangeShapeType="1"/>
                  </xdr:cNvSpPr>
                </xdr:nvSpPr>
                <xdr:spPr bwMode="auto">
                  <a:xfrm flipH="1">
                    <a:off x="991"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5" name="Line 135">
                    <a:extLst>
                      <a:ext uri="{FF2B5EF4-FFF2-40B4-BE49-F238E27FC236}">
                        <a16:creationId xmlns:a16="http://schemas.microsoft.com/office/drawing/2014/main" id="{00000000-0008-0000-0100-000059010000}"/>
                      </a:ext>
                    </a:extLst>
                  </xdr:cNvPr>
                  <xdr:cNvSpPr>
                    <a:spLocks noChangeShapeType="1"/>
                  </xdr:cNvSpPr>
                </xdr:nvSpPr>
                <xdr:spPr bwMode="auto">
                  <a:xfrm flipH="1">
                    <a:off x="997" y="691"/>
                    <a:ext cx="5"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343" name="Line 136">
                  <a:extLst>
                    <a:ext uri="{FF2B5EF4-FFF2-40B4-BE49-F238E27FC236}">
                      <a16:creationId xmlns:a16="http://schemas.microsoft.com/office/drawing/2014/main" id="{00000000-0008-0000-0100-000057010000}"/>
                    </a:ext>
                  </a:extLst>
                </xdr:cNvPr>
                <xdr:cNvSpPr>
                  <a:spLocks noChangeShapeType="1"/>
                </xdr:cNvSpPr>
              </xdr:nvSpPr>
              <xdr:spPr bwMode="auto">
                <a:xfrm>
                  <a:off x="1097" y="1162"/>
                  <a:ext cx="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337" name="Line 137">
                <a:extLst>
                  <a:ext uri="{FF2B5EF4-FFF2-40B4-BE49-F238E27FC236}">
                    <a16:creationId xmlns:a16="http://schemas.microsoft.com/office/drawing/2014/main" id="{00000000-0008-0000-0100-000051010000}"/>
                  </a:ext>
                </a:extLst>
              </xdr:cNvPr>
              <xdr:cNvSpPr>
                <a:spLocks noChangeShapeType="1"/>
              </xdr:cNvSpPr>
            </xdr:nvSpPr>
            <xdr:spPr bwMode="auto">
              <a:xfrm flipV="1">
                <a:off x="1115" y="1156"/>
                <a:ext cx="4" cy="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nvGrpSpPr>
            <xdr:cNvPr id="319" name="Group 138">
              <a:extLst>
                <a:ext uri="{FF2B5EF4-FFF2-40B4-BE49-F238E27FC236}">
                  <a16:creationId xmlns:a16="http://schemas.microsoft.com/office/drawing/2014/main" id="{00000000-0008-0000-0100-00003F010000}"/>
                </a:ext>
              </a:extLst>
            </xdr:cNvPr>
            <xdr:cNvGrpSpPr>
              <a:grpSpLocks/>
            </xdr:cNvGrpSpPr>
          </xdr:nvGrpSpPr>
          <xdr:grpSpPr bwMode="auto">
            <a:xfrm>
              <a:off x="1035" y="1166"/>
              <a:ext cx="186" cy="59"/>
              <a:chOff x="1035" y="1166"/>
              <a:chExt cx="186" cy="59"/>
            </a:xfrm>
          </xdr:grpSpPr>
          <xdr:sp macro="" textlink="">
            <xdr:nvSpPr>
              <xdr:cNvPr id="320" name="Rectangle 139">
                <a:extLst>
                  <a:ext uri="{FF2B5EF4-FFF2-40B4-BE49-F238E27FC236}">
                    <a16:creationId xmlns:a16="http://schemas.microsoft.com/office/drawing/2014/main" id="{00000000-0008-0000-0100-000040010000}"/>
                  </a:ext>
                </a:extLst>
              </xdr:cNvPr>
              <xdr:cNvSpPr>
                <a:spLocks noChangeArrowheads="1"/>
              </xdr:cNvSpPr>
            </xdr:nvSpPr>
            <xdr:spPr bwMode="auto">
              <a:xfrm>
                <a:off x="1035" y="1166"/>
                <a:ext cx="186" cy="17"/>
              </a:xfrm>
              <a:prstGeom prst="rect">
                <a:avLst/>
              </a:prstGeom>
              <a:solidFill>
                <a:srgbClr xmlns:mc="http://schemas.openxmlformats.org/markup-compatibility/2006" xmlns:a14="http://schemas.microsoft.com/office/drawing/2010/main" val="969696" mc:Ignorable="a14" a14:legacySpreadsheetColorIndex="5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321" name="Group 140">
                <a:extLst>
                  <a:ext uri="{FF2B5EF4-FFF2-40B4-BE49-F238E27FC236}">
                    <a16:creationId xmlns:a16="http://schemas.microsoft.com/office/drawing/2014/main" id="{00000000-0008-0000-0100-000041010000}"/>
                  </a:ext>
                </a:extLst>
              </xdr:cNvPr>
              <xdr:cNvGrpSpPr>
                <a:grpSpLocks/>
              </xdr:cNvGrpSpPr>
            </xdr:nvGrpSpPr>
            <xdr:grpSpPr bwMode="auto">
              <a:xfrm>
                <a:off x="1081" y="1189"/>
                <a:ext cx="98" cy="36"/>
                <a:chOff x="992" y="763"/>
                <a:chExt cx="98" cy="59"/>
              </a:xfrm>
            </xdr:grpSpPr>
            <xdr:sp macro="" textlink="">
              <xdr:nvSpPr>
                <xdr:cNvPr id="322" name="Oval 141">
                  <a:extLst>
                    <a:ext uri="{FF2B5EF4-FFF2-40B4-BE49-F238E27FC236}">
                      <a16:creationId xmlns:a16="http://schemas.microsoft.com/office/drawing/2014/main" id="{00000000-0008-0000-0100-000042010000}"/>
                    </a:ext>
                  </a:extLst>
                </xdr:cNvPr>
                <xdr:cNvSpPr>
                  <a:spLocks noChangeArrowheads="1"/>
                </xdr:cNvSpPr>
              </xdr:nvSpPr>
              <xdr:spPr bwMode="auto">
                <a:xfrm>
                  <a:off x="1034" y="810"/>
                  <a:ext cx="14" cy="12"/>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23" name="Group 142">
                  <a:extLst>
                    <a:ext uri="{FF2B5EF4-FFF2-40B4-BE49-F238E27FC236}">
                      <a16:creationId xmlns:a16="http://schemas.microsoft.com/office/drawing/2014/main" id="{00000000-0008-0000-0100-000043010000}"/>
                    </a:ext>
                  </a:extLst>
                </xdr:cNvPr>
                <xdr:cNvGrpSpPr>
                  <a:grpSpLocks/>
                </xdr:cNvGrpSpPr>
              </xdr:nvGrpSpPr>
              <xdr:grpSpPr bwMode="auto">
                <a:xfrm>
                  <a:off x="992" y="763"/>
                  <a:ext cx="98" cy="27"/>
                  <a:chOff x="1210" y="756"/>
                  <a:chExt cx="124" cy="27"/>
                </a:xfrm>
              </xdr:grpSpPr>
              <xdr:grpSp>
                <xdr:nvGrpSpPr>
                  <xdr:cNvPr id="328" name="Group 143">
                    <a:extLst>
                      <a:ext uri="{FF2B5EF4-FFF2-40B4-BE49-F238E27FC236}">
                        <a16:creationId xmlns:a16="http://schemas.microsoft.com/office/drawing/2014/main" id="{00000000-0008-0000-0100-000048010000}"/>
                      </a:ext>
                    </a:extLst>
                  </xdr:cNvPr>
                  <xdr:cNvGrpSpPr>
                    <a:grpSpLocks/>
                  </xdr:cNvGrpSpPr>
                </xdr:nvGrpSpPr>
                <xdr:grpSpPr bwMode="auto">
                  <a:xfrm>
                    <a:off x="1210" y="756"/>
                    <a:ext cx="63" cy="27"/>
                    <a:chOff x="1210" y="756"/>
                    <a:chExt cx="63" cy="27"/>
                  </a:xfrm>
                </xdr:grpSpPr>
                <xdr:sp macro="" textlink="">
                  <xdr:nvSpPr>
                    <xdr:cNvPr id="332" name="Oval 144">
                      <a:extLst>
                        <a:ext uri="{FF2B5EF4-FFF2-40B4-BE49-F238E27FC236}">
                          <a16:creationId xmlns:a16="http://schemas.microsoft.com/office/drawing/2014/main" id="{00000000-0008-0000-0100-00004C01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3" name="AutoShape 145">
                      <a:extLst>
                        <a:ext uri="{FF2B5EF4-FFF2-40B4-BE49-F238E27FC236}">
                          <a16:creationId xmlns:a16="http://schemas.microsoft.com/office/drawing/2014/main" id="{00000000-0008-0000-0100-00004D01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329" name="Group 146">
                    <a:extLst>
                      <a:ext uri="{FF2B5EF4-FFF2-40B4-BE49-F238E27FC236}">
                        <a16:creationId xmlns:a16="http://schemas.microsoft.com/office/drawing/2014/main" id="{00000000-0008-0000-0100-000049010000}"/>
                      </a:ext>
                    </a:extLst>
                  </xdr:cNvPr>
                  <xdr:cNvGrpSpPr>
                    <a:grpSpLocks/>
                  </xdr:cNvGrpSpPr>
                </xdr:nvGrpSpPr>
                <xdr:grpSpPr bwMode="auto">
                  <a:xfrm flipH="1">
                    <a:off x="1271" y="756"/>
                    <a:ext cx="63" cy="27"/>
                    <a:chOff x="1210" y="756"/>
                    <a:chExt cx="63" cy="27"/>
                  </a:xfrm>
                </xdr:grpSpPr>
                <xdr:sp macro="" textlink="">
                  <xdr:nvSpPr>
                    <xdr:cNvPr id="330" name="Oval 147">
                      <a:extLst>
                        <a:ext uri="{FF2B5EF4-FFF2-40B4-BE49-F238E27FC236}">
                          <a16:creationId xmlns:a16="http://schemas.microsoft.com/office/drawing/2014/main" id="{00000000-0008-0000-0100-00004A010000}"/>
                        </a:ext>
                      </a:extLst>
                    </xdr:cNvPr>
                    <xdr:cNvSpPr>
                      <a:spLocks noChangeArrowheads="1"/>
                    </xdr:cNvSpPr>
                  </xdr:nvSpPr>
                  <xdr:spPr bwMode="auto">
                    <a:xfrm>
                      <a:off x="1210" y="756"/>
                      <a:ext cx="18" cy="26"/>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31" name="AutoShape 148">
                      <a:extLst>
                        <a:ext uri="{FF2B5EF4-FFF2-40B4-BE49-F238E27FC236}">
                          <a16:creationId xmlns:a16="http://schemas.microsoft.com/office/drawing/2014/main" id="{00000000-0008-0000-0100-00004B010000}"/>
                        </a:ext>
                      </a:extLst>
                    </xdr:cNvPr>
                    <xdr:cNvSpPr>
                      <a:spLocks noChangeArrowheads="1"/>
                    </xdr:cNvSpPr>
                  </xdr:nvSpPr>
                  <xdr:spPr bwMode="auto">
                    <a:xfrm rot="5467105">
                      <a:off x="1234" y="743"/>
                      <a:ext cx="26" cy="53"/>
                    </a:xfrm>
                    <a:prstGeom prst="triangle">
                      <a:avLst>
                        <a:gd name="adj" fmla="val 50000"/>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sp macro="" textlink="">
              <xdr:nvSpPr>
                <xdr:cNvPr id="324" name="Line 149">
                  <a:extLst>
                    <a:ext uri="{FF2B5EF4-FFF2-40B4-BE49-F238E27FC236}">
                      <a16:creationId xmlns:a16="http://schemas.microsoft.com/office/drawing/2014/main" id="{00000000-0008-0000-0100-000044010000}"/>
                    </a:ext>
                  </a:extLst>
                </xdr:cNvPr>
                <xdr:cNvSpPr>
                  <a:spLocks noChangeShapeType="1"/>
                </xdr:cNvSpPr>
              </xdr:nvSpPr>
              <xdr:spPr bwMode="auto">
                <a:xfrm>
                  <a:off x="1041" y="777"/>
                  <a:ext cx="0" cy="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325" name="Group 150">
                  <a:extLst>
                    <a:ext uri="{FF2B5EF4-FFF2-40B4-BE49-F238E27FC236}">
                      <a16:creationId xmlns:a16="http://schemas.microsoft.com/office/drawing/2014/main" id="{00000000-0008-0000-0100-000045010000}"/>
                    </a:ext>
                  </a:extLst>
                </xdr:cNvPr>
                <xdr:cNvGrpSpPr>
                  <a:grpSpLocks/>
                </xdr:cNvGrpSpPr>
              </xdr:nvGrpSpPr>
              <xdr:grpSpPr bwMode="auto">
                <a:xfrm>
                  <a:off x="1035" y="784"/>
                  <a:ext cx="12" cy="31"/>
                  <a:chOff x="1039" y="785"/>
                  <a:chExt cx="12" cy="31"/>
                </a:xfrm>
              </xdr:grpSpPr>
              <xdr:sp macro="" textlink="">
                <xdr:nvSpPr>
                  <xdr:cNvPr id="326" name="Oval 151">
                    <a:extLst>
                      <a:ext uri="{FF2B5EF4-FFF2-40B4-BE49-F238E27FC236}">
                        <a16:creationId xmlns:a16="http://schemas.microsoft.com/office/drawing/2014/main" id="{00000000-0008-0000-0100-000046010000}"/>
                      </a:ext>
                    </a:extLst>
                  </xdr:cNvPr>
                  <xdr:cNvSpPr>
                    <a:spLocks noChangeArrowheads="1"/>
                  </xdr:cNvSpPr>
                </xdr:nvSpPr>
                <xdr:spPr bwMode="auto">
                  <a:xfrm>
                    <a:off x="1039" y="785"/>
                    <a:ext cx="12" cy="8"/>
                  </a:xfrm>
                  <a:prstGeom prst="ellipse">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27" name="Rectangle 152">
                    <a:extLst>
                      <a:ext uri="{FF2B5EF4-FFF2-40B4-BE49-F238E27FC236}">
                        <a16:creationId xmlns:a16="http://schemas.microsoft.com/office/drawing/2014/main" id="{00000000-0008-0000-0100-000047010000}"/>
                      </a:ext>
                    </a:extLst>
                  </xdr:cNvPr>
                  <xdr:cNvSpPr>
                    <a:spLocks noChangeArrowheads="1"/>
                  </xdr:cNvSpPr>
                </xdr:nvSpPr>
                <xdr:spPr bwMode="auto">
                  <a:xfrm>
                    <a:off x="1039" y="790"/>
                    <a:ext cx="12" cy="26"/>
                  </a:xfrm>
                  <a:prstGeom prst="rect">
                    <a:avLst/>
                  </a:prstGeom>
                  <a:gradFill rotWithShape="0">
                    <a:gsLst>
                      <a:gs pos="0">
                        <a:srgbClr xmlns:mc="http://schemas.openxmlformats.org/markup-compatibility/2006" xmlns:a14="http://schemas.microsoft.com/office/drawing/2010/main" val="767676" mc:Ignorable="a14" a14:legacySpreadsheetColorIndex="9">
                          <a:gamma/>
                          <a:shade val="46275"/>
                          <a:invGamma/>
                        </a:srgbClr>
                      </a:gs>
                      <a:gs pos="50000">
                        <a:srgbClr xmlns:mc="http://schemas.openxmlformats.org/markup-compatibility/2006" xmlns:a14="http://schemas.microsoft.com/office/drawing/2010/main" val="FFFFFF" mc:Ignorable="a14" a14:legacySpreadsheetColorIndex="9"/>
                      </a:gs>
                      <a:gs pos="100000">
                        <a:srgbClr xmlns:mc="http://schemas.openxmlformats.org/markup-compatibility/2006" xmlns:a14="http://schemas.microsoft.com/office/drawing/2010/main" val="767676" mc:Ignorable="a14" a14:legacySpreadsheetColorIndex="9">
                          <a:gamma/>
                          <a:shade val="46275"/>
                          <a:invGamma/>
                        </a:srgbClr>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grpSp>
      </xdr:grpSp>
      <xdr:sp macro="" textlink="">
        <xdr:nvSpPr>
          <xdr:cNvPr id="317" name="Rectangle 153">
            <a:extLst>
              <a:ext uri="{FF2B5EF4-FFF2-40B4-BE49-F238E27FC236}">
                <a16:creationId xmlns:a16="http://schemas.microsoft.com/office/drawing/2014/main" id="{00000000-0008-0000-0100-00003D010000}"/>
              </a:ext>
            </a:extLst>
          </xdr:cNvPr>
          <xdr:cNvSpPr>
            <a:spLocks noChangeArrowheads="1"/>
          </xdr:cNvSpPr>
        </xdr:nvSpPr>
        <xdr:spPr bwMode="auto">
          <a:xfrm>
            <a:off x="1168" y="893"/>
            <a:ext cx="29" cy="11"/>
          </a:xfrm>
          <a:prstGeom prst="rect">
            <a:avLst/>
          </a:prstGeom>
          <a:solidFill>
            <a:srgbClr xmlns:mc="http://schemas.openxmlformats.org/markup-compatibility/2006" xmlns:a14="http://schemas.microsoft.com/office/drawing/2010/main" val="808080" mc:Ignorable="a14" a14:legacySpreadsheetColorIndex="23"/>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469900</xdr:colOff>
      <xdr:row>6</xdr:row>
      <xdr:rowOff>92257</xdr:rowOff>
    </xdr:from>
    <xdr:to>
      <xdr:col>18</xdr:col>
      <xdr:colOff>345233</xdr:colOff>
      <xdr:row>10</xdr:row>
      <xdr:rowOff>83000</xdr:rowOff>
    </xdr:to>
    <xdr:cxnSp macro="">
      <xdr:nvCxnSpPr>
        <xdr:cNvPr id="379" name="Elbow Connector 378">
          <a:extLst>
            <a:ext uri="{FF2B5EF4-FFF2-40B4-BE49-F238E27FC236}">
              <a16:creationId xmlns:a16="http://schemas.microsoft.com/office/drawing/2014/main" id="{00000000-0008-0000-0100-00007B010000}"/>
            </a:ext>
          </a:extLst>
        </xdr:cNvPr>
        <xdr:cNvCxnSpPr>
          <a:stCxn id="320" idx="1"/>
          <a:endCxn id="123" idx="1"/>
        </xdr:cNvCxnSpPr>
      </xdr:nvCxnSpPr>
      <xdr:spPr>
        <a:xfrm>
          <a:off x="11277600" y="854257"/>
          <a:ext cx="484933" cy="752743"/>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528518</xdr:colOff>
      <xdr:row>6</xdr:row>
      <xdr:rowOff>79377</xdr:rowOff>
    </xdr:from>
    <xdr:to>
      <xdr:col>21</xdr:col>
      <xdr:colOff>516466</xdr:colOff>
      <xdr:row>6</xdr:row>
      <xdr:rowOff>193676</xdr:rowOff>
    </xdr:to>
    <xdr:sp macro="" textlink="">
      <xdr:nvSpPr>
        <xdr:cNvPr id="427" name="Rectangle 330">
          <a:extLst>
            <a:ext uri="{FF2B5EF4-FFF2-40B4-BE49-F238E27FC236}">
              <a16:creationId xmlns:a16="http://schemas.microsoft.com/office/drawing/2014/main" id="{00000000-0008-0000-0100-0000AB010000}"/>
            </a:ext>
          </a:extLst>
        </xdr:cNvPr>
        <xdr:cNvSpPr>
          <a:spLocks noChangeArrowheads="1"/>
        </xdr:cNvSpPr>
      </xdr:nvSpPr>
      <xdr:spPr bwMode="auto">
        <a:xfrm rot="5400000">
          <a:off x="13123009" y="286486"/>
          <a:ext cx="114299" cy="1257948"/>
        </a:xfrm>
        <a:prstGeom prst="rect">
          <a:avLst/>
        </a:prstGeom>
        <a:gradFill flip="none" rotWithShape="1">
          <a:gsLst>
            <a:gs pos="0">
              <a:srgbClr val="FFFFFF">
                <a:gamma/>
                <a:shade val="46275"/>
                <a:invGamma/>
              </a:srgbClr>
            </a:gs>
            <a:gs pos="50000">
              <a:srgbClr val="FFFFFF"/>
            </a:gs>
            <a:gs pos="100000">
              <a:srgbClr val="FFFFFF">
                <a:gamma/>
                <a:shade val="46275"/>
                <a:invGamma/>
              </a:srgbClr>
            </a:gs>
          </a:gsLst>
          <a:lin ang="0" scaled="1"/>
          <a:tileRect/>
        </a:gradFill>
        <a:ln w="9525">
          <a:solidFill>
            <a:srgbClr xmlns:mc="http://schemas.openxmlformats.org/markup-compatibility/2006" xmlns:a14="http://schemas.microsoft.com/office/drawing/2010/main" val="000000" mc:Ignorable="a14" a14:legacySpreadsheetColorIndex="8"/>
          </a:solidFill>
          <a:miter lim="800000"/>
          <a:headEnd/>
          <a:tailEnd/>
        </a:ln>
        <a:effectLst/>
      </xdr:spPr>
    </xdr:sp>
    <xdr:clientData/>
  </xdr:twoCellAnchor>
  <xdr:twoCellAnchor>
    <xdr:from>
      <xdr:col>12</xdr:col>
      <xdr:colOff>430741</xdr:colOff>
      <xdr:row>14</xdr:row>
      <xdr:rowOff>165100</xdr:rowOff>
    </xdr:from>
    <xdr:to>
      <xdr:col>12</xdr:col>
      <xdr:colOff>644081</xdr:colOff>
      <xdr:row>16</xdr:row>
      <xdr:rowOff>7443</xdr:rowOff>
    </xdr:to>
    <xdr:sp macro="" textlink="">
      <xdr:nvSpPr>
        <xdr:cNvPr id="436" name="Oval 435">
          <a:extLst>
            <a:ext uri="{FF2B5EF4-FFF2-40B4-BE49-F238E27FC236}">
              <a16:creationId xmlns:a16="http://schemas.microsoft.com/office/drawing/2014/main" id="{00000000-0008-0000-0100-0000B4010000}"/>
            </a:ext>
          </a:extLst>
        </xdr:cNvPr>
        <xdr:cNvSpPr/>
      </xdr:nvSpPr>
      <xdr:spPr>
        <a:xfrm>
          <a:off x="8575674" y="2942167"/>
          <a:ext cx="213340" cy="231809"/>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5</a:t>
          </a:r>
        </a:p>
      </xdr:txBody>
    </xdr:sp>
    <xdr:clientData/>
  </xdr:twoCellAnchor>
  <xdr:twoCellAnchor>
    <xdr:from>
      <xdr:col>8</xdr:col>
      <xdr:colOff>504825</xdr:colOff>
      <xdr:row>19</xdr:row>
      <xdr:rowOff>60325</xdr:rowOff>
    </xdr:from>
    <xdr:to>
      <xdr:col>8</xdr:col>
      <xdr:colOff>714990</xdr:colOff>
      <xdr:row>20</xdr:row>
      <xdr:rowOff>91051</xdr:rowOff>
    </xdr:to>
    <xdr:sp macro="" textlink="">
      <xdr:nvSpPr>
        <xdr:cNvPr id="438" name="Oval 437">
          <a:extLst>
            <a:ext uri="{FF2B5EF4-FFF2-40B4-BE49-F238E27FC236}">
              <a16:creationId xmlns:a16="http://schemas.microsoft.com/office/drawing/2014/main" id="{00000000-0008-0000-0100-0000B6010000}"/>
            </a:ext>
          </a:extLst>
        </xdr:cNvPr>
        <xdr:cNvSpPr/>
      </xdr:nvSpPr>
      <xdr:spPr>
        <a:xfrm>
          <a:off x="5673725" y="3298825"/>
          <a:ext cx="210165" cy="221226"/>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3</a:t>
          </a:r>
        </a:p>
      </xdr:txBody>
    </xdr:sp>
    <xdr:clientData/>
  </xdr:twoCellAnchor>
  <xdr:twoCellAnchor>
    <xdr:from>
      <xdr:col>21</xdr:col>
      <xdr:colOff>516466</xdr:colOff>
      <xdr:row>6</xdr:row>
      <xdr:rowOff>123012</xdr:rowOff>
    </xdr:from>
    <xdr:to>
      <xdr:col>22</xdr:col>
      <xdr:colOff>338667</xdr:colOff>
      <xdr:row>6</xdr:row>
      <xdr:rowOff>136527</xdr:rowOff>
    </xdr:to>
    <xdr:cxnSp macro="">
      <xdr:nvCxnSpPr>
        <xdr:cNvPr id="446" name="Elbow Connector 445">
          <a:extLst>
            <a:ext uri="{FF2B5EF4-FFF2-40B4-BE49-F238E27FC236}">
              <a16:creationId xmlns:a16="http://schemas.microsoft.com/office/drawing/2014/main" id="{00000000-0008-0000-0100-0000BE010000}"/>
            </a:ext>
          </a:extLst>
        </xdr:cNvPr>
        <xdr:cNvCxnSpPr>
          <a:stCxn id="427" idx="0"/>
          <a:endCxn id="153" idx="0"/>
        </xdr:cNvCxnSpPr>
      </xdr:nvCxnSpPr>
      <xdr:spPr>
        <a:xfrm flipV="1">
          <a:off x="13809133" y="901945"/>
          <a:ext cx="651934" cy="1351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239183</xdr:colOff>
      <xdr:row>6</xdr:row>
      <xdr:rowOff>80433</xdr:rowOff>
    </xdr:from>
    <xdr:to>
      <xdr:col>24</xdr:col>
      <xdr:colOff>449348</xdr:colOff>
      <xdr:row>7</xdr:row>
      <xdr:rowOff>107984</xdr:rowOff>
    </xdr:to>
    <xdr:sp macro="" textlink="">
      <xdr:nvSpPr>
        <xdr:cNvPr id="311" name="Oval 310">
          <a:extLst>
            <a:ext uri="{FF2B5EF4-FFF2-40B4-BE49-F238E27FC236}">
              <a16:creationId xmlns:a16="http://schemas.microsoft.com/office/drawing/2014/main" id="{00000000-0008-0000-0100-000037010000}"/>
            </a:ext>
          </a:extLst>
        </xdr:cNvPr>
        <xdr:cNvSpPr/>
      </xdr:nvSpPr>
      <xdr:spPr>
        <a:xfrm>
          <a:off x="15843250" y="859366"/>
          <a:ext cx="210165" cy="222285"/>
        </a:xfrm>
        <a:prstGeom prst="ellipse">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US" sz="1100"/>
            <a:t>9</a:t>
          </a:r>
        </a:p>
        <a:p>
          <a:pPr algn="l"/>
          <a:endParaRPr lang="en-US" sz="1100"/>
        </a:p>
        <a:p>
          <a:pPr algn="l"/>
          <a:endParaRPr lang="en-US" sz="1100"/>
        </a:p>
      </xdr:txBody>
    </xdr:sp>
    <xdr:clientData/>
  </xdr:twoCellAnchor>
  <xdr:twoCellAnchor>
    <xdr:from>
      <xdr:col>8</xdr:col>
      <xdr:colOff>0</xdr:colOff>
      <xdr:row>13</xdr:row>
      <xdr:rowOff>0</xdr:rowOff>
    </xdr:from>
    <xdr:to>
      <xdr:col>9</xdr:col>
      <xdr:colOff>76203</xdr:colOff>
      <xdr:row>15</xdr:row>
      <xdr:rowOff>1749</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rot="16200000" flipH="1">
          <a:off x="5563127" y="2365034"/>
          <a:ext cx="393955" cy="846608"/>
          <a:chOff x="14337458" y="762000"/>
          <a:chExt cx="176893" cy="502655"/>
        </a:xfrm>
      </xdr:grpSpPr>
      <xdr:sp macro="" textlink="">
        <xdr:nvSpPr>
          <xdr:cNvPr id="380" name="Oval 327">
            <a:extLst>
              <a:ext uri="{FF2B5EF4-FFF2-40B4-BE49-F238E27FC236}">
                <a16:creationId xmlns:a16="http://schemas.microsoft.com/office/drawing/2014/main" id="{00000000-0008-0000-0100-00007C010000}"/>
              </a:ext>
            </a:extLst>
          </xdr:cNvPr>
          <xdr:cNvSpPr>
            <a:spLocks noChangeArrowheads="1"/>
          </xdr:cNvSpPr>
        </xdr:nvSpPr>
        <xdr:spPr bwMode="auto">
          <a:xfrm>
            <a:off x="14337458" y="762000"/>
            <a:ext cx="171839" cy="78052"/>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1" name="Oval 329">
            <a:extLst>
              <a:ext uri="{FF2B5EF4-FFF2-40B4-BE49-F238E27FC236}">
                <a16:creationId xmlns:a16="http://schemas.microsoft.com/office/drawing/2014/main" id="{00000000-0008-0000-0100-00007D010000}"/>
              </a:ext>
            </a:extLst>
          </xdr:cNvPr>
          <xdr:cNvSpPr>
            <a:spLocks noChangeArrowheads="1"/>
          </xdr:cNvSpPr>
        </xdr:nvSpPr>
        <xdr:spPr bwMode="auto">
          <a:xfrm>
            <a:off x="14337458" y="1186603"/>
            <a:ext cx="171839" cy="78052"/>
          </a:xfrm>
          <a:prstGeom prst="ellipse">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2" name="Rectangle 330">
            <a:extLst>
              <a:ext uri="{FF2B5EF4-FFF2-40B4-BE49-F238E27FC236}">
                <a16:creationId xmlns:a16="http://schemas.microsoft.com/office/drawing/2014/main" id="{00000000-0008-0000-0100-00007E010000}"/>
              </a:ext>
            </a:extLst>
          </xdr:cNvPr>
          <xdr:cNvSpPr>
            <a:spLocks noChangeArrowheads="1"/>
          </xdr:cNvSpPr>
        </xdr:nvSpPr>
        <xdr:spPr bwMode="auto">
          <a:xfrm>
            <a:off x="14337458" y="799465"/>
            <a:ext cx="176893" cy="433970"/>
          </a:xfrm>
          <a:prstGeom prst="rect">
            <a:avLst/>
          </a:prstGeom>
          <a:gradFill rotWithShape="0">
            <a:gsLst>
              <a:gs pos="0">
                <a:srgbClr val="FFFFFF">
                  <a:gamma/>
                  <a:shade val="46275"/>
                  <a:invGamma/>
                </a:srgbClr>
              </a:gs>
              <a:gs pos="50000">
                <a:srgbClr val="FFFFFF"/>
              </a:gs>
              <a:gs pos="100000">
                <a:srgbClr val="FFFFFF">
                  <a:gamma/>
                  <a:shade val="46275"/>
                  <a:invGamma/>
                </a:srgbClr>
              </a:gs>
            </a:gsLst>
            <a:lin ang="0" scaled="1"/>
          </a:gradFill>
          <a:ln w="9525">
            <a:solidFill>
              <a:srgbClr xmlns:mc="http://schemas.openxmlformats.org/markup-compatibility/2006" xmlns:a14="http://schemas.microsoft.com/office/drawing/2010/main" val="000000" mc:Ignorable="a14" a14:legacySpreadsheetColorIndex="8"/>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8</xdr:col>
      <xdr:colOff>432879</xdr:colOff>
      <xdr:row>10</xdr:row>
      <xdr:rowOff>76730</xdr:rowOff>
    </xdr:from>
    <xdr:to>
      <xdr:col>10</xdr:col>
      <xdr:colOff>529079</xdr:colOff>
      <xdr:row>13</xdr:row>
      <xdr:rowOff>2</xdr:rowOff>
    </xdr:to>
    <xdr:cxnSp macro="">
      <xdr:nvCxnSpPr>
        <xdr:cNvPr id="383" name="Elbow Connector 382">
          <a:extLst>
            <a:ext uri="{FF2B5EF4-FFF2-40B4-BE49-F238E27FC236}">
              <a16:creationId xmlns:a16="http://schemas.microsoft.com/office/drawing/2014/main" id="{00000000-0008-0000-0100-00007F010000}"/>
            </a:ext>
          </a:extLst>
        </xdr:cNvPr>
        <xdr:cNvCxnSpPr>
          <a:stCxn id="382" idx="1"/>
          <a:endCxn id="6" idx="1"/>
        </xdr:cNvCxnSpPr>
      </xdr:nvCxnSpPr>
      <xdr:spPr>
        <a:xfrm rot="5400000" flipH="1" flipV="1">
          <a:off x="6086177" y="1145966"/>
          <a:ext cx="507472" cy="148473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11</xdr:row>
      <xdr:rowOff>110067</xdr:rowOff>
    </xdr:from>
    <xdr:to>
      <xdr:col>19</xdr:col>
      <xdr:colOff>175684</xdr:colOff>
      <xdr:row>16</xdr:row>
      <xdr:rowOff>52917</xdr:rowOff>
    </xdr:to>
    <xdr:cxnSp macro="">
      <xdr:nvCxnSpPr>
        <xdr:cNvPr id="384" name="Elbow Connector 383">
          <a:extLst>
            <a:ext uri="{FF2B5EF4-FFF2-40B4-BE49-F238E27FC236}">
              <a16:creationId xmlns:a16="http://schemas.microsoft.com/office/drawing/2014/main" id="{00000000-0008-0000-0100-000080010000}"/>
            </a:ext>
          </a:extLst>
        </xdr:cNvPr>
        <xdr:cNvCxnSpPr>
          <a:endCxn id="60" idx="2"/>
        </xdr:cNvCxnSpPr>
      </xdr:nvCxnSpPr>
      <xdr:spPr>
        <a:xfrm>
          <a:off x="7162800" y="1862667"/>
          <a:ext cx="5171017" cy="916517"/>
        </a:xfrm>
        <a:prstGeom prst="bentConnector3">
          <a:avLst>
            <a:gd name="adj1" fmla="val 579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843556</xdr:colOff>
      <xdr:row>10</xdr:row>
      <xdr:rowOff>76729</xdr:rowOff>
    </xdr:from>
    <xdr:to>
      <xdr:col>13</xdr:col>
      <xdr:colOff>329553</xdr:colOff>
      <xdr:row>11</xdr:row>
      <xdr:rowOff>111125</xdr:rowOff>
    </xdr:to>
    <xdr:cxnSp macro="">
      <xdr:nvCxnSpPr>
        <xdr:cNvPr id="386" name="Elbow Connector 385">
          <a:extLst>
            <a:ext uri="{FF2B5EF4-FFF2-40B4-BE49-F238E27FC236}">
              <a16:creationId xmlns:a16="http://schemas.microsoft.com/office/drawing/2014/main" id="{00000000-0008-0000-0100-000082010000}"/>
            </a:ext>
          </a:extLst>
        </xdr:cNvPr>
        <xdr:cNvCxnSpPr>
          <a:stCxn id="39" idx="4"/>
          <a:endCxn id="6" idx="3"/>
        </xdr:cNvCxnSpPr>
      </xdr:nvCxnSpPr>
      <xdr:spPr>
        <a:xfrm rot="5400000" flipH="1">
          <a:off x="8312123" y="719229"/>
          <a:ext cx="229129" cy="2059864"/>
        </a:xfrm>
        <a:prstGeom prst="bentConnector4">
          <a:avLst>
            <a:gd name="adj1" fmla="val -99769"/>
            <a:gd name="adj2" fmla="val 52086"/>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175684</xdr:colOff>
      <xdr:row>15</xdr:row>
      <xdr:rowOff>147109</xdr:rowOff>
    </xdr:from>
    <xdr:to>
      <xdr:col>19</xdr:col>
      <xdr:colOff>365126</xdr:colOff>
      <xdr:row>16</xdr:row>
      <xdr:rowOff>147108</xdr:rowOff>
    </xdr:to>
    <xdr:sp macro="" textlink="">
      <xdr:nvSpPr>
        <xdr:cNvPr id="60" name="Oval 59">
          <a:extLst>
            <a:ext uri="{FF2B5EF4-FFF2-40B4-BE49-F238E27FC236}">
              <a16:creationId xmlns:a16="http://schemas.microsoft.com/office/drawing/2014/main" id="{AF69463E-A51D-4AC0-3D64-36F47C6FF095}"/>
            </a:ext>
          </a:extLst>
        </xdr:cNvPr>
        <xdr:cNvSpPr/>
      </xdr:nvSpPr>
      <xdr:spPr>
        <a:xfrm>
          <a:off x="12333817" y="2678642"/>
          <a:ext cx="189442" cy="194733"/>
        </a:xfrm>
        <a:prstGeom prst="ellipse">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r="100000" b="100000"/>
          </a:path>
          <a:tileRect l="-100000" t="-10000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167218</xdr:colOff>
      <xdr:row>16</xdr:row>
      <xdr:rowOff>147108</xdr:rowOff>
    </xdr:from>
    <xdr:to>
      <xdr:col>19</xdr:col>
      <xdr:colOff>364068</xdr:colOff>
      <xdr:row>17</xdr:row>
      <xdr:rowOff>62441</xdr:rowOff>
    </xdr:to>
    <xdr:sp macro="" textlink="">
      <xdr:nvSpPr>
        <xdr:cNvPr id="61" name="Rectangle: Top Corners Snipped 60">
          <a:extLst>
            <a:ext uri="{FF2B5EF4-FFF2-40B4-BE49-F238E27FC236}">
              <a16:creationId xmlns:a16="http://schemas.microsoft.com/office/drawing/2014/main" id="{52E62EB9-6DB6-5E0A-65FE-B0A69BD9B57E}"/>
            </a:ext>
          </a:extLst>
        </xdr:cNvPr>
        <xdr:cNvSpPr/>
      </xdr:nvSpPr>
      <xdr:spPr>
        <a:xfrm>
          <a:off x="12325351" y="2873375"/>
          <a:ext cx="196850" cy="110066"/>
        </a:xfrm>
        <a:prstGeom prst="snip2SameRect">
          <a:avLst/>
        </a:prstGeom>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270406</xdr:colOff>
      <xdr:row>6</xdr:row>
      <xdr:rowOff>136527</xdr:rowOff>
    </xdr:from>
    <xdr:to>
      <xdr:col>19</xdr:col>
      <xdr:colOff>531694</xdr:colOff>
      <xdr:row>15</xdr:row>
      <xdr:rowOff>150284</xdr:rowOff>
    </xdr:to>
    <xdr:cxnSp macro="">
      <xdr:nvCxnSpPr>
        <xdr:cNvPr id="62" name="Elbow Connector 383">
          <a:extLst>
            <a:ext uri="{FF2B5EF4-FFF2-40B4-BE49-F238E27FC236}">
              <a16:creationId xmlns:a16="http://schemas.microsoft.com/office/drawing/2014/main" id="{CEF9EF31-4FD2-4BD6-81D9-C9771E28907D}"/>
            </a:ext>
          </a:extLst>
        </xdr:cNvPr>
        <xdr:cNvCxnSpPr>
          <a:stCxn id="60" idx="0"/>
          <a:endCxn id="427" idx="2"/>
        </xdr:cNvCxnSpPr>
      </xdr:nvCxnSpPr>
      <xdr:spPr>
        <a:xfrm rot="5400000" flipH="1" flipV="1">
          <a:off x="11676004" y="1667995"/>
          <a:ext cx="1766357" cy="26128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626532</xdr:colOff>
      <xdr:row>28</xdr:row>
      <xdr:rowOff>104774</xdr:rowOff>
    </xdr:from>
    <xdr:to>
      <xdr:col>20</xdr:col>
      <xdr:colOff>169333</xdr:colOff>
      <xdr:row>57</xdr:row>
      <xdr:rowOff>164223</xdr:rowOff>
    </xdr:to>
    <xdr:sp macro="" textlink="">
      <xdr:nvSpPr>
        <xdr:cNvPr id="111" name="Rectangle 110">
          <a:extLst>
            <a:ext uri="{FF2B5EF4-FFF2-40B4-BE49-F238E27FC236}">
              <a16:creationId xmlns:a16="http://schemas.microsoft.com/office/drawing/2014/main" id="{51ABE2FF-DA0A-494F-8468-92830822A18A}"/>
            </a:ext>
          </a:extLst>
        </xdr:cNvPr>
        <xdr:cNvSpPr/>
      </xdr:nvSpPr>
      <xdr:spPr>
        <a:xfrm>
          <a:off x="5805066" y="5370895"/>
          <a:ext cx="7907284" cy="545694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338667</xdr:colOff>
      <xdr:row>12</xdr:row>
      <xdr:rowOff>84667</xdr:rowOff>
    </xdr:from>
    <xdr:to>
      <xdr:col>11</xdr:col>
      <xdr:colOff>169334</xdr:colOff>
      <xdr:row>13</xdr:row>
      <xdr:rowOff>135466</xdr:rowOff>
    </xdr:to>
    <xdr:sp macro="" textlink="">
      <xdr:nvSpPr>
        <xdr:cNvPr id="57" name="TextBox 56">
          <a:extLst>
            <a:ext uri="{FF2B5EF4-FFF2-40B4-BE49-F238E27FC236}">
              <a16:creationId xmlns:a16="http://schemas.microsoft.com/office/drawing/2014/main" id="{787E6219-2B82-C985-705D-45A299F9FFA4}"/>
            </a:ext>
          </a:extLst>
        </xdr:cNvPr>
        <xdr:cNvSpPr txBox="1"/>
      </xdr:nvSpPr>
      <xdr:spPr>
        <a:xfrm>
          <a:off x="6891867" y="2032000"/>
          <a:ext cx="584200" cy="24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Flash A</a:t>
          </a:r>
        </a:p>
      </xdr:txBody>
    </xdr:sp>
    <xdr:clientData/>
  </xdr:twoCellAnchor>
  <xdr:twoCellAnchor>
    <xdr:from>
      <xdr:col>22</xdr:col>
      <xdr:colOff>389467</xdr:colOff>
      <xdr:row>10</xdr:row>
      <xdr:rowOff>50800</xdr:rowOff>
    </xdr:from>
    <xdr:to>
      <xdr:col>23</xdr:col>
      <xdr:colOff>367242</xdr:colOff>
      <xdr:row>11</xdr:row>
      <xdr:rowOff>101600</xdr:rowOff>
    </xdr:to>
    <xdr:sp macro="" textlink="">
      <xdr:nvSpPr>
        <xdr:cNvPr id="58" name="TextBox 57">
          <a:extLst>
            <a:ext uri="{FF2B5EF4-FFF2-40B4-BE49-F238E27FC236}">
              <a16:creationId xmlns:a16="http://schemas.microsoft.com/office/drawing/2014/main" id="{FF6FC7DC-AA65-4F6B-A8D1-303CEA8E4B12}"/>
            </a:ext>
          </a:extLst>
        </xdr:cNvPr>
        <xdr:cNvSpPr txBox="1"/>
      </xdr:nvSpPr>
      <xdr:spPr>
        <a:xfrm>
          <a:off x="15214600" y="1608667"/>
          <a:ext cx="587375" cy="245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Flash B</a:t>
          </a:r>
        </a:p>
      </xdr:txBody>
    </xdr:sp>
    <xdr:clientData/>
  </xdr:twoCellAnchor>
  <xdr:twoCellAnchor>
    <xdr:from>
      <xdr:col>16</xdr:col>
      <xdr:colOff>397934</xdr:colOff>
      <xdr:row>7</xdr:row>
      <xdr:rowOff>143933</xdr:rowOff>
    </xdr:from>
    <xdr:to>
      <xdr:col>16</xdr:col>
      <xdr:colOff>626534</xdr:colOff>
      <xdr:row>9</xdr:row>
      <xdr:rowOff>99483</xdr:rowOff>
    </xdr:to>
    <xdr:grpSp>
      <xdr:nvGrpSpPr>
        <xdr:cNvPr id="113" name="Group 112">
          <a:extLst>
            <a:ext uri="{FF2B5EF4-FFF2-40B4-BE49-F238E27FC236}">
              <a16:creationId xmlns:a16="http://schemas.microsoft.com/office/drawing/2014/main" id="{9EC74BD8-95A9-4A35-A60E-0B747FF3CE90}"/>
            </a:ext>
          </a:extLst>
        </xdr:cNvPr>
        <xdr:cNvGrpSpPr/>
      </xdr:nvGrpSpPr>
      <xdr:grpSpPr>
        <a:xfrm>
          <a:off x="11645838" y="1558676"/>
          <a:ext cx="228600" cy="347756"/>
          <a:chOff x="7924800" y="3089275"/>
          <a:chExt cx="431800" cy="473075"/>
        </a:xfrm>
      </xdr:grpSpPr>
      <xdr:sp macro="" textlink="">
        <xdr:nvSpPr>
          <xdr:cNvPr id="114" name="Rectangle 113">
            <a:extLst>
              <a:ext uri="{FF2B5EF4-FFF2-40B4-BE49-F238E27FC236}">
                <a16:creationId xmlns:a16="http://schemas.microsoft.com/office/drawing/2014/main" id="{16B0025F-16D7-BBF1-328E-33D5C61CBCA0}"/>
              </a:ext>
            </a:extLst>
          </xdr:cNvPr>
          <xdr:cNvSpPr/>
        </xdr:nvSpPr>
        <xdr:spPr bwMode="auto">
          <a:xfrm>
            <a:off x="8101012" y="3386137"/>
            <a:ext cx="63500" cy="1746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115" name="Rectangle 114">
            <a:extLst>
              <a:ext uri="{FF2B5EF4-FFF2-40B4-BE49-F238E27FC236}">
                <a16:creationId xmlns:a16="http://schemas.microsoft.com/office/drawing/2014/main" id="{D090EB84-DF05-98F8-B1D3-BA17A56C4D57}"/>
              </a:ext>
            </a:extLst>
          </xdr:cNvPr>
          <xdr:cNvSpPr/>
        </xdr:nvSpPr>
        <xdr:spPr bwMode="auto">
          <a:xfrm>
            <a:off x="7924800" y="3089275"/>
            <a:ext cx="431800" cy="30162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en-US" sz="1100"/>
          </a:p>
        </xdr:txBody>
      </xdr:sp>
      <xdr:sp macro="" textlink="">
        <xdr:nvSpPr>
          <xdr:cNvPr id="116" name="Line 110">
            <a:extLst>
              <a:ext uri="{FF2B5EF4-FFF2-40B4-BE49-F238E27FC236}">
                <a16:creationId xmlns:a16="http://schemas.microsoft.com/office/drawing/2014/main" id="{2CA69B1C-6C17-2C0E-D6F8-C03CD39D0599}"/>
              </a:ext>
            </a:extLst>
          </xdr:cNvPr>
          <xdr:cNvSpPr>
            <a:spLocks noChangeShapeType="1"/>
          </xdr:cNvSpPr>
        </xdr:nvSpPr>
        <xdr:spPr bwMode="auto">
          <a:xfrm>
            <a:off x="7924800" y="3287169"/>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17" name="Line 111">
            <a:extLst>
              <a:ext uri="{FF2B5EF4-FFF2-40B4-BE49-F238E27FC236}">
                <a16:creationId xmlns:a16="http://schemas.microsoft.com/office/drawing/2014/main" id="{E5A44D83-AE97-03F2-F0DC-F66571D5DDE6}"/>
              </a:ext>
            </a:extLst>
          </xdr:cNvPr>
          <xdr:cNvSpPr>
            <a:spLocks noChangeShapeType="1"/>
          </xdr:cNvSpPr>
        </xdr:nvSpPr>
        <xdr:spPr bwMode="auto">
          <a:xfrm>
            <a:off x="7924800" y="330660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26" name="Line 112">
            <a:extLst>
              <a:ext uri="{FF2B5EF4-FFF2-40B4-BE49-F238E27FC236}">
                <a16:creationId xmlns:a16="http://schemas.microsoft.com/office/drawing/2014/main" id="{91F94EF8-07A4-C7F1-6D08-F963C864AA31}"/>
              </a:ext>
            </a:extLst>
          </xdr:cNvPr>
          <xdr:cNvSpPr>
            <a:spLocks noChangeShapeType="1"/>
          </xdr:cNvSpPr>
        </xdr:nvSpPr>
        <xdr:spPr bwMode="auto">
          <a:xfrm>
            <a:off x="7924800" y="3335753"/>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xnSp macro="">
        <xdr:nvCxnSpPr>
          <xdr:cNvPr id="128" name="Straight Connector 127">
            <a:extLst>
              <a:ext uri="{FF2B5EF4-FFF2-40B4-BE49-F238E27FC236}">
                <a16:creationId xmlns:a16="http://schemas.microsoft.com/office/drawing/2014/main" id="{855FEA2C-B4E1-3BF1-4BC6-1A39915D12BD}"/>
              </a:ext>
            </a:extLst>
          </xdr:cNvPr>
          <xdr:cNvCxnSpPr>
            <a:stCxn id="115" idx="1"/>
          </xdr:cNvCxnSpPr>
        </xdr:nvCxnSpPr>
        <xdr:spPr bwMode="auto">
          <a:xfrm>
            <a:off x="7924800" y="3240088"/>
            <a:ext cx="4763" cy="312737"/>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48" name="Straight Connector 147">
            <a:extLst>
              <a:ext uri="{FF2B5EF4-FFF2-40B4-BE49-F238E27FC236}">
                <a16:creationId xmlns:a16="http://schemas.microsoft.com/office/drawing/2014/main" id="{5509324F-B93B-85C2-E41E-406906F0E7C6}"/>
              </a:ext>
            </a:extLst>
          </xdr:cNvPr>
          <xdr:cNvCxnSpPr/>
        </xdr:nvCxnSpPr>
        <xdr:spPr bwMode="auto">
          <a:xfrm>
            <a:off x="8356600" y="3228975"/>
            <a:ext cx="0" cy="333375"/>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24</xdr:col>
      <xdr:colOff>201083</xdr:colOff>
      <xdr:row>12</xdr:row>
      <xdr:rowOff>37041</xdr:rowOff>
    </xdr:from>
    <xdr:to>
      <xdr:col>24</xdr:col>
      <xdr:colOff>443441</xdr:colOff>
      <xdr:row>13</xdr:row>
      <xdr:rowOff>84665</xdr:rowOff>
    </xdr:to>
    <xdr:sp macro="" textlink="">
      <xdr:nvSpPr>
        <xdr:cNvPr id="150" name="Oval 149">
          <a:extLst>
            <a:ext uri="{FF2B5EF4-FFF2-40B4-BE49-F238E27FC236}">
              <a16:creationId xmlns:a16="http://schemas.microsoft.com/office/drawing/2014/main" id="{BCC9D8D1-48F4-1C4B-7212-C0FEE473314E}"/>
            </a:ext>
          </a:extLst>
        </xdr:cNvPr>
        <xdr:cNvSpPr/>
      </xdr:nvSpPr>
      <xdr:spPr>
        <a:xfrm>
          <a:off x="16313150" y="1984374"/>
          <a:ext cx="242358" cy="242358"/>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160867</xdr:colOff>
      <xdr:row>12</xdr:row>
      <xdr:rowOff>20109</xdr:rowOff>
    </xdr:from>
    <xdr:to>
      <xdr:col>25</xdr:col>
      <xdr:colOff>45509</xdr:colOff>
      <xdr:row>13</xdr:row>
      <xdr:rowOff>104775</xdr:rowOff>
    </xdr:to>
    <xdr:sp macro="" textlink="">
      <xdr:nvSpPr>
        <xdr:cNvPr id="151" name="TextBox 150">
          <a:extLst>
            <a:ext uri="{FF2B5EF4-FFF2-40B4-BE49-F238E27FC236}">
              <a16:creationId xmlns:a16="http://schemas.microsoft.com/office/drawing/2014/main" id="{E887DADF-613B-C43F-0CF0-D559AC938F49}"/>
            </a:ext>
          </a:extLst>
        </xdr:cNvPr>
        <xdr:cNvSpPr txBox="1"/>
      </xdr:nvSpPr>
      <xdr:spPr>
        <a:xfrm>
          <a:off x="16272934" y="1967442"/>
          <a:ext cx="494242"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10</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441960</xdr:colOff>
      <xdr:row>31</xdr:row>
      <xdr:rowOff>99060</xdr:rowOff>
    </xdr:from>
    <xdr:to>
      <xdr:col>9</xdr:col>
      <xdr:colOff>396240</xdr:colOff>
      <xdr:row>40</xdr:row>
      <xdr:rowOff>76200</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5194935" y="5052060"/>
          <a:ext cx="1173480" cy="16916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487680</xdr:colOff>
      <xdr:row>35</xdr:row>
      <xdr:rowOff>175260</xdr:rowOff>
    </xdr:from>
    <xdr:to>
      <xdr:col>7</xdr:col>
      <xdr:colOff>441960</xdr:colOff>
      <xdr:row>35</xdr:row>
      <xdr:rowOff>179070</xdr:rowOff>
    </xdr:to>
    <xdr:cxnSp macro="">
      <xdr:nvCxnSpPr>
        <xdr:cNvPr id="3" name="Straight Arrow Connector 3">
          <a:extLst>
            <a:ext uri="{FF2B5EF4-FFF2-40B4-BE49-F238E27FC236}">
              <a16:creationId xmlns:a16="http://schemas.microsoft.com/office/drawing/2014/main" id="{00000000-0008-0000-0800-000003000000}"/>
            </a:ext>
          </a:extLst>
        </xdr:cNvPr>
        <xdr:cNvCxnSpPr>
          <a:endCxn id="2" idx="1"/>
        </xdr:cNvCxnSpPr>
      </xdr:nvCxnSpPr>
      <xdr:spPr>
        <a:xfrm>
          <a:off x="4059555" y="5890260"/>
          <a:ext cx="1135380" cy="3810"/>
        </a:xfrm>
        <a:prstGeom prst="bentConnector3">
          <a:avLst>
            <a:gd name="adj1" fmla="val 50000"/>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29</xdr:row>
      <xdr:rowOff>45720</xdr:rowOff>
    </xdr:from>
    <xdr:to>
      <xdr:col>11</xdr:col>
      <xdr:colOff>137160</xdr:colOff>
      <xdr:row>31</xdr:row>
      <xdr:rowOff>99060</xdr:rowOff>
    </xdr:to>
    <xdr:cxnSp macro="">
      <xdr:nvCxnSpPr>
        <xdr:cNvPr id="4" name="Elbow Connector 3">
          <a:extLst>
            <a:ext uri="{FF2B5EF4-FFF2-40B4-BE49-F238E27FC236}">
              <a16:creationId xmlns:a16="http://schemas.microsoft.com/office/drawing/2014/main" id="{00000000-0008-0000-0800-000004000000}"/>
            </a:ext>
          </a:extLst>
        </xdr:cNvPr>
        <xdr:cNvCxnSpPr>
          <a:stCxn id="2" idx="0"/>
        </xdr:cNvCxnSpPr>
      </xdr:nvCxnSpPr>
      <xdr:spPr>
        <a:xfrm rot="5400000" flipH="1" flipV="1">
          <a:off x="6318885" y="4080510"/>
          <a:ext cx="434340" cy="150876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40</xdr:row>
      <xdr:rowOff>76200</xdr:rowOff>
    </xdr:from>
    <xdr:to>
      <xdr:col>11</xdr:col>
      <xdr:colOff>129540</xdr:colOff>
      <xdr:row>43</xdr:row>
      <xdr:rowOff>53340</xdr:rowOff>
    </xdr:to>
    <xdr:cxnSp macro="">
      <xdr:nvCxnSpPr>
        <xdr:cNvPr id="5" name="Elbow Connector 4">
          <a:extLst>
            <a:ext uri="{FF2B5EF4-FFF2-40B4-BE49-F238E27FC236}">
              <a16:creationId xmlns:a16="http://schemas.microsoft.com/office/drawing/2014/main" id="{00000000-0008-0000-0800-000005000000}"/>
            </a:ext>
          </a:extLst>
        </xdr:cNvPr>
        <xdr:cNvCxnSpPr>
          <a:stCxn id="2" idx="2"/>
        </xdr:cNvCxnSpPr>
      </xdr:nvCxnSpPr>
      <xdr:spPr>
        <a:xfrm rot="16200000" flipH="1">
          <a:off x="6257925" y="6267450"/>
          <a:ext cx="548640" cy="150114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441960</xdr:colOff>
      <xdr:row>26</xdr:row>
      <xdr:rowOff>99060</xdr:rowOff>
    </xdr:from>
    <xdr:to>
      <xdr:col>9</xdr:col>
      <xdr:colOff>396240</xdr:colOff>
      <xdr:row>35</xdr:row>
      <xdr:rowOff>76200</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5328285" y="5052060"/>
          <a:ext cx="1173480" cy="16916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487680</xdr:colOff>
      <xdr:row>30</xdr:row>
      <xdr:rowOff>175260</xdr:rowOff>
    </xdr:from>
    <xdr:to>
      <xdr:col>7</xdr:col>
      <xdr:colOff>441960</xdr:colOff>
      <xdr:row>30</xdr:row>
      <xdr:rowOff>179070</xdr:rowOff>
    </xdr:to>
    <xdr:cxnSp macro="">
      <xdr:nvCxnSpPr>
        <xdr:cNvPr id="3" name="Straight Arrow Connector 3">
          <a:extLst>
            <a:ext uri="{FF2B5EF4-FFF2-40B4-BE49-F238E27FC236}">
              <a16:creationId xmlns:a16="http://schemas.microsoft.com/office/drawing/2014/main" id="{00000000-0008-0000-0900-000003000000}"/>
            </a:ext>
          </a:extLst>
        </xdr:cNvPr>
        <xdr:cNvCxnSpPr>
          <a:endCxn id="2" idx="1"/>
        </xdr:cNvCxnSpPr>
      </xdr:nvCxnSpPr>
      <xdr:spPr>
        <a:xfrm>
          <a:off x="4192905" y="5890260"/>
          <a:ext cx="1135380" cy="3810"/>
        </a:xfrm>
        <a:prstGeom prst="bentConnector3">
          <a:avLst>
            <a:gd name="adj1" fmla="val 50000"/>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24</xdr:row>
      <xdr:rowOff>45720</xdr:rowOff>
    </xdr:from>
    <xdr:to>
      <xdr:col>11</xdr:col>
      <xdr:colOff>137160</xdr:colOff>
      <xdr:row>26</xdr:row>
      <xdr:rowOff>99060</xdr:rowOff>
    </xdr:to>
    <xdr:cxnSp macro="">
      <xdr:nvCxnSpPr>
        <xdr:cNvPr id="4" name="Elbow Connector 3">
          <a:extLst>
            <a:ext uri="{FF2B5EF4-FFF2-40B4-BE49-F238E27FC236}">
              <a16:creationId xmlns:a16="http://schemas.microsoft.com/office/drawing/2014/main" id="{00000000-0008-0000-0900-000004000000}"/>
            </a:ext>
          </a:extLst>
        </xdr:cNvPr>
        <xdr:cNvCxnSpPr>
          <a:stCxn id="2" idx="0"/>
        </xdr:cNvCxnSpPr>
      </xdr:nvCxnSpPr>
      <xdr:spPr>
        <a:xfrm rot="5400000" flipH="1" flipV="1">
          <a:off x="6452235" y="4080510"/>
          <a:ext cx="434340" cy="150876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35</xdr:row>
      <xdr:rowOff>76200</xdr:rowOff>
    </xdr:from>
    <xdr:to>
      <xdr:col>11</xdr:col>
      <xdr:colOff>129540</xdr:colOff>
      <xdr:row>38</xdr:row>
      <xdr:rowOff>53340</xdr:rowOff>
    </xdr:to>
    <xdr:cxnSp macro="">
      <xdr:nvCxnSpPr>
        <xdr:cNvPr id="5" name="Elbow Connector 4">
          <a:extLst>
            <a:ext uri="{FF2B5EF4-FFF2-40B4-BE49-F238E27FC236}">
              <a16:creationId xmlns:a16="http://schemas.microsoft.com/office/drawing/2014/main" id="{00000000-0008-0000-0900-000005000000}"/>
            </a:ext>
          </a:extLst>
        </xdr:cNvPr>
        <xdr:cNvCxnSpPr>
          <a:stCxn id="2" idx="2"/>
        </xdr:cNvCxnSpPr>
      </xdr:nvCxnSpPr>
      <xdr:spPr>
        <a:xfrm rot="16200000" flipH="1">
          <a:off x="6391275" y="6267450"/>
          <a:ext cx="548640" cy="150114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441960</xdr:colOff>
      <xdr:row>31</xdr:row>
      <xdr:rowOff>99060</xdr:rowOff>
    </xdr:from>
    <xdr:to>
      <xdr:col>9</xdr:col>
      <xdr:colOff>396240</xdr:colOff>
      <xdr:row>40</xdr:row>
      <xdr:rowOff>76200</xdr:rowOff>
    </xdr:to>
    <xdr:sp macro="" textlink="">
      <xdr:nvSpPr>
        <xdr:cNvPr id="2" name="Rounded Rectangle 1">
          <a:extLst>
            <a:ext uri="{FF2B5EF4-FFF2-40B4-BE49-F238E27FC236}">
              <a16:creationId xmlns:a16="http://schemas.microsoft.com/office/drawing/2014/main" id="{4922D451-4EAA-41D0-A671-8EC7EB6B9A97}"/>
            </a:ext>
          </a:extLst>
        </xdr:cNvPr>
        <xdr:cNvSpPr/>
      </xdr:nvSpPr>
      <xdr:spPr>
        <a:xfrm>
          <a:off x="5331460" y="6042660"/>
          <a:ext cx="1173480" cy="16916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487680</xdr:colOff>
      <xdr:row>35</xdr:row>
      <xdr:rowOff>175260</xdr:rowOff>
    </xdr:from>
    <xdr:to>
      <xdr:col>7</xdr:col>
      <xdr:colOff>441960</xdr:colOff>
      <xdr:row>35</xdr:row>
      <xdr:rowOff>179070</xdr:rowOff>
    </xdr:to>
    <xdr:cxnSp macro="">
      <xdr:nvCxnSpPr>
        <xdr:cNvPr id="3" name="Straight Arrow Connector 3">
          <a:extLst>
            <a:ext uri="{FF2B5EF4-FFF2-40B4-BE49-F238E27FC236}">
              <a16:creationId xmlns:a16="http://schemas.microsoft.com/office/drawing/2014/main" id="{A7546702-9B9E-46FE-8CD6-2F765EE13569}"/>
            </a:ext>
          </a:extLst>
        </xdr:cNvPr>
        <xdr:cNvCxnSpPr>
          <a:endCxn id="2" idx="1"/>
        </xdr:cNvCxnSpPr>
      </xdr:nvCxnSpPr>
      <xdr:spPr>
        <a:xfrm>
          <a:off x="4199255" y="6880860"/>
          <a:ext cx="1132205" cy="6985"/>
        </a:xfrm>
        <a:prstGeom prst="bentConnector3">
          <a:avLst>
            <a:gd name="adj1" fmla="val 50000"/>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29</xdr:row>
      <xdr:rowOff>45720</xdr:rowOff>
    </xdr:from>
    <xdr:to>
      <xdr:col>11</xdr:col>
      <xdr:colOff>137160</xdr:colOff>
      <xdr:row>31</xdr:row>
      <xdr:rowOff>99060</xdr:rowOff>
    </xdr:to>
    <xdr:cxnSp macro="">
      <xdr:nvCxnSpPr>
        <xdr:cNvPr id="4" name="Elbow Connector 3">
          <a:extLst>
            <a:ext uri="{FF2B5EF4-FFF2-40B4-BE49-F238E27FC236}">
              <a16:creationId xmlns:a16="http://schemas.microsoft.com/office/drawing/2014/main" id="{F858FFDF-B423-4FD6-A238-80CBEB15FF42}"/>
            </a:ext>
          </a:extLst>
        </xdr:cNvPr>
        <xdr:cNvCxnSpPr>
          <a:stCxn id="2" idx="0"/>
        </xdr:cNvCxnSpPr>
      </xdr:nvCxnSpPr>
      <xdr:spPr>
        <a:xfrm rot="5400000" flipH="1" flipV="1">
          <a:off x="6456997" y="5072698"/>
          <a:ext cx="431165" cy="150876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40</xdr:row>
      <xdr:rowOff>76200</xdr:rowOff>
    </xdr:from>
    <xdr:to>
      <xdr:col>11</xdr:col>
      <xdr:colOff>129540</xdr:colOff>
      <xdr:row>43</xdr:row>
      <xdr:rowOff>53340</xdr:rowOff>
    </xdr:to>
    <xdr:cxnSp macro="">
      <xdr:nvCxnSpPr>
        <xdr:cNvPr id="5" name="Elbow Connector 4">
          <a:extLst>
            <a:ext uri="{FF2B5EF4-FFF2-40B4-BE49-F238E27FC236}">
              <a16:creationId xmlns:a16="http://schemas.microsoft.com/office/drawing/2014/main" id="{A45E890A-AE98-4775-9FA9-7055FDD2021B}"/>
            </a:ext>
          </a:extLst>
        </xdr:cNvPr>
        <xdr:cNvCxnSpPr>
          <a:stCxn id="2" idx="2"/>
        </xdr:cNvCxnSpPr>
      </xdr:nvCxnSpPr>
      <xdr:spPr>
        <a:xfrm rot="16200000" flipH="1">
          <a:off x="6394450" y="7258050"/>
          <a:ext cx="548640" cy="1501140"/>
        </a:xfrm>
        <a:prstGeom prst="bentConnector2">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25400</xdr:colOff>
      <xdr:row>12</xdr:row>
      <xdr:rowOff>57150</xdr:rowOff>
    </xdr:to>
    <xdr:pic>
      <xdr:nvPicPr>
        <xdr:cNvPr id="2" name="Picture 1" descr="eq 7">
          <a:extLst>
            <a:ext uri="{FF2B5EF4-FFF2-40B4-BE49-F238E27FC236}">
              <a16:creationId xmlns:a16="http://schemas.microsoft.com/office/drawing/2014/main" id="{02443C64-45AD-4B77-B94E-B7582E39E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0075"/>
          <a:ext cx="67056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24</xdr:row>
      <xdr:rowOff>0</xdr:rowOff>
    </xdr:from>
    <xdr:to>
      <xdr:col>15</xdr:col>
      <xdr:colOff>82550</xdr:colOff>
      <xdr:row>25</xdr:row>
      <xdr:rowOff>168275</xdr:rowOff>
    </xdr:to>
    <xdr:pic>
      <xdr:nvPicPr>
        <xdr:cNvPr id="3" name="Picture 2" descr="eq 1">
          <a:extLst>
            <a:ext uri="{FF2B5EF4-FFF2-40B4-BE49-F238E27FC236}">
              <a16:creationId xmlns:a16="http://schemas.microsoft.com/office/drawing/2014/main" id="{ECDAB260-4A1D-4216-9AC2-F9B381A6FE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2393950"/>
          <a:ext cx="6473825"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28</xdr:row>
      <xdr:rowOff>0</xdr:rowOff>
    </xdr:from>
    <xdr:to>
      <xdr:col>8</xdr:col>
      <xdr:colOff>82550</xdr:colOff>
      <xdr:row>29</xdr:row>
      <xdr:rowOff>73025</xdr:rowOff>
    </xdr:to>
    <xdr:pic>
      <xdr:nvPicPr>
        <xdr:cNvPr id="4" name="Picture 3" descr="eq 2">
          <a:extLst>
            <a:ext uri="{FF2B5EF4-FFF2-40B4-BE49-F238E27FC236}">
              <a16:creationId xmlns:a16="http://schemas.microsoft.com/office/drawing/2014/main" id="{54C55E9B-4399-4240-954D-9867D79E62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3155950"/>
          <a:ext cx="1101725"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15</xdr:col>
      <xdr:colOff>73025</xdr:colOff>
      <xdr:row>54</xdr:row>
      <xdr:rowOff>152400</xdr:rowOff>
    </xdr:to>
    <xdr:pic>
      <xdr:nvPicPr>
        <xdr:cNvPr id="5" name="Picture 4" descr="eq 3">
          <a:extLst>
            <a:ext uri="{FF2B5EF4-FFF2-40B4-BE49-F238E27FC236}">
              <a16:creationId xmlns:a16="http://schemas.microsoft.com/office/drawing/2014/main" id="{A2C81197-2131-428C-A6F4-1B16D7BB43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38400" y="5702300"/>
          <a:ext cx="645795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82</xdr:row>
      <xdr:rowOff>63500</xdr:rowOff>
    </xdr:from>
    <xdr:to>
      <xdr:col>15</xdr:col>
      <xdr:colOff>158750</xdr:colOff>
      <xdr:row>85</xdr:row>
      <xdr:rowOff>34925</xdr:rowOff>
    </xdr:to>
    <xdr:pic>
      <xdr:nvPicPr>
        <xdr:cNvPr id="18" name="Picture 17" descr="eq 6">
          <a:extLst>
            <a:ext uri="{FF2B5EF4-FFF2-40B4-BE49-F238E27FC236}">
              <a16:creationId xmlns:a16="http://schemas.microsoft.com/office/drawing/2014/main" id="{D3FAF8BA-FB0E-3CD7-114C-061B99F94B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4600" y="16052800"/>
          <a:ext cx="6524625"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25400</xdr:colOff>
      <xdr:row>12</xdr:row>
      <xdr:rowOff>57150</xdr:rowOff>
    </xdr:to>
    <xdr:pic>
      <xdr:nvPicPr>
        <xdr:cNvPr id="2" name="Picture 1" descr="eq 7">
          <a:extLst>
            <a:ext uri="{FF2B5EF4-FFF2-40B4-BE49-F238E27FC236}">
              <a16:creationId xmlns:a16="http://schemas.microsoft.com/office/drawing/2014/main" id="{168632E8-E2AE-4809-B3A4-84D837965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7150" y="1495425"/>
          <a:ext cx="63881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24</xdr:row>
      <xdr:rowOff>0</xdr:rowOff>
    </xdr:from>
    <xdr:to>
      <xdr:col>15</xdr:col>
      <xdr:colOff>82550</xdr:colOff>
      <xdr:row>25</xdr:row>
      <xdr:rowOff>168275</xdr:rowOff>
    </xdr:to>
    <xdr:pic>
      <xdr:nvPicPr>
        <xdr:cNvPr id="3" name="Picture 2" descr="eq 1">
          <a:extLst>
            <a:ext uri="{FF2B5EF4-FFF2-40B4-BE49-F238E27FC236}">
              <a16:creationId xmlns:a16="http://schemas.microsoft.com/office/drawing/2014/main" id="{B319D5D0-08B5-4000-8954-34EA398451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67150" y="5086350"/>
          <a:ext cx="644525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28</xdr:row>
      <xdr:rowOff>0</xdr:rowOff>
    </xdr:from>
    <xdr:to>
      <xdr:col>8</xdr:col>
      <xdr:colOff>82550</xdr:colOff>
      <xdr:row>29</xdr:row>
      <xdr:rowOff>73025</xdr:rowOff>
    </xdr:to>
    <xdr:pic>
      <xdr:nvPicPr>
        <xdr:cNvPr id="4" name="Picture 3" descr="eq 2">
          <a:extLst>
            <a:ext uri="{FF2B5EF4-FFF2-40B4-BE49-F238E27FC236}">
              <a16:creationId xmlns:a16="http://schemas.microsoft.com/office/drawing/2014/main" id="{1983C0C4-1873-442D-8BD3-B6B891A3DD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67150" y="5848350"/>
          <a:ext cx="1101725"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15</xdr:col>
      <xdr:colOff>73025</xdr:colOff>
      <xdr:row>54</xdr:row>
      <xdr:rowOff>152400</xdr:rowOff>
    </xdr:to>
    <xdr:pic>
      <xdr:nvPicPr>
        <xdr:cNvPr id="5" name="Picture 4" descr="eq 3">
          <a:extLst>
            <a:ext uri="{FF2B5EF4-FFF2-40B4-BE49-F238E27FC236}">
              <a16:creationId xmlns:a16="http://schemas.microsoft.com/office/drawing/2014/main" id="{7B51BADA-12CE-41DD-9402-6C511A2B66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67150" y="10106025"/>
          <a:ext cx="6435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82</xdr:row>
      <xdr:rowOff>63500</xdr:rowOff>
    </xdr:from>
    <xdr:to>
      <xdr:col>15</xdr:col>
      <xdr:colOff>158750</xdr:colOff>
      <xdr:row>85</xdr:row>
      <xdr:rowOff>34925</xdr:rowOff>
    </xdr:to>
    <xdr:pic>
      <xdr:nvPicPr>
        <xdr:cNvPr id="6" name="Picture 5" descr="eq 6">
          <a:extLst>
            <a:ext uri="{FF2B5EF4-FFF2-40B4-BE49-F238E27FC236}">
              <a16:creationId xmlns:a16="http://schemas.microsoft.com/office/drawing/2014/main" id="{09D8F7D0-080E-4967-92D8-664C31F5D1D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92550" y="16503650"/>
          <a:ext cx="64960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25400</xdr:colOff>
      <xdr:row>12</xdr:row>
      <xdr:rowOff>57150</xdr:rowOff>
    </xdr:to>
    <xdr:pic>
      <xdr:nvPicPr>
        <xdr:cNvPr id="2" name="Picture 1" descr="eq 7">
          <a:extLst>
            <a:ext uri="{FF2B5EF4-FFF2-40B4-BE49-F238E27FC236}">
              <a16:creationId xmlns:a16="http://schemas.microsoft.com/office/drawing/2014/main" id="{802B16D4-787E-4819-AEDD-DB73A9D11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7150" y="1495425"/>
          <a:ext cx="63881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24</xdr:row>
      <xdr:rowOff>0</xdr:rowOff>
    </xdr:from>
    <xdr:to>
      <xdr:col>15</xdr:col>
      <xdr:colOff>82550</xdr:colOff>
      <xdr:row>25</xdr:row>
      <xdr:rowOff>168275</xdr:rowOff>
    </xdr:to>
    <xdr:pic>
      <xdr:nvPicPr>
        <xdr:cNvPr id="3" name="Picture 2" descr="eq 1">
          <a:extLst>
            <a:ext uri="{FF2B5EF4-FFF2-40B4-BE49-F238E27FC236}">
              <a16:creationId xmlns:a16="http://schemas.microsoft.com/office/drawing/2014/main" id="{11B84B1E-C256-4CDA-B06D-565CB50DF8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67150" y="5086350"/>
          <a:ext cx="644525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28</xdr:row>
      <xdr:rowOff>0</xdr:rowOff>
    </xdr:from>
    <xdr:to>
      <xdr:col>8</xdr:col>
      <xdr:colOff>82550</xdr:colOff>
      <xdr:row>29</xdr:row>
      <xdr:rowOff>73025</xdr:rowOff>
    </xdr:to>
    <xdr:pic>
      <xdr:nvPicPr>
        <xdr:cNvPr id="4" name="Picture 3" descr="eq 2">
          <a:extLst>
            <a:ext uri="{FF2B5EF4-FFF2-40B4-BE49-F238E27FC236}">
              <a16:creationId xmlns:a16="http://schemas.microsoft.com/office/drawing/2014/main" id="{888E0822-D647-48EE-92F0-406F2C533A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67150" y="5848350"/>
          <a:ext cx="1101725"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15</xdr:col>
      <xdr:colOff>73025</xdr:colOff>
      <xdr:row>54</xdr:row>
      <xdr:rowOff>152400</xdr:rowOff>
    </xdr:to>
    <xdr:pic>
      <xdr:nvPicPr>
        <xdr:cNvPr id="5" name="Picture 4" descr="eq 3">
          <a:extLst>
            <a:ext uri="{FF2B5EF4-FFF2-40B4-BE49-F238E27FC236}">
              <a16:creationId xmlns:a16="http://schemas.microsoft.com/office/drawing/2014/main" id="{3286A202-6928-430A-9528-25CB5D525A4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67150" y="10106025"/>
          <a:ext cx="6435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82</xdr:row>
      <xdr:rowOff>63500</xdr:rowOff>
    </xdr:from>
    <xdr:to>
      <xdr:col>15</xdr:col>
      <xdr:colOff>158750</xdr:colOff>
      <xdr:row>85</xdr:row>
      <xdr:rowOff>34925</xdr:rowOff>
    </xdr:to>
    <xdr:pic>
      <xdr:nvPicPr>
        <xdr:cNvPr id="6" name="Picture 5" descr="eq 6">
          <a:extLst>
            <a:ext uri="{FF2B5EF4-FFF2-40B4-BE49-F238E27FC236}">
              <a16:creationId xmlns:a16="http://schemas.microsoft.com/office/drawing/2014/main" id="{2C065C5F-F69E-4333-BB8F-877237EB54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92550" y="16503650"/>
          <a:ext cx="64960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15</xdr:col>
      <xdr:colOff>25400</xdr:colOff>
      <xdr:row>12</xdr:row>
      <xdr:rowOff>57150</xdr:rowOff>
    </xdr:to>
    <xdr:pic>
      <xdr:nvPicPr>
        <xdr:cNvPr id="2" name="Picture 1" descr="eq 7">
          <a:extLst>
            <a:ext uri="{FF2B5EF4-FFF2-40B4-BE49-F238E27FC236}">
              <a16:creationId xmlns:a16="http://schemas.microsoft.com/office/drawing/2014/main" id="{F38AAF6E-8E06-49E5-9766-FB2C4117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7150" y="1495425"/>
          <a:ext cx="638810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24</xdr:row>
      <xdr:rowOff>0</xdr:rowOff>
    </xdr:from>
    <xdr:to>
      <xdr:col>15</xdr:col>
      <xdr:colOff>82550</xdr:colOff>
      <xdr:row>25</xdr:row>
      <xdr:rowOff>168275</xdr:rowOff>
    </xdr:to>
    <xdr:pic>
      <xdr:nvPicPr>
        <xdr:cNvPr id="3" name="Picture 2" descr="eq 1">
          <a:extLst>
            <a:ext uri="{FF2B5EF4-FFF2-40B4-BE49-F238E27FC236}">
              <a16:creationId xmlns:a16="http://schemas.microsoft.com/office/drawing/2014/main" id="{D66293D5-6C7F-41F3-A083-01F159FB66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67150" y="5086350"/>
          <a:ext cx="644525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28</xdr:row>
      <xdr:rowOff>0</xdr:rowOff>
    </xdr:from>
    <xdr:to>
      <xdr:col>8</xdr:col>
      <xdr:colOff>82550</xdr:colOff>
      <xdr:row>29</xdr:row>
      <xdr:rowOff>73025</xdr:rowOff>
    </xdr:to>
    <xdr:pic>
      <xdr:nvPicPr>
        <xdr:cNvPr id="4" name="Picture 3" descr="eq 2">
          <a:extLst>
            <a:ext uri="{FF2B5EF4-FFF2-40B4-BE49-F238E27FC236}">
              <a16:creationId xmlns:a16="http://schemas.microsoft.com/office/drawing/2014/main" id="{0BD1C5C9-BB2A-4D93-83D8-9582C80569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67150" y="5848350"/>
          <a:ext cx="1101725" cy="26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15</xdr:col>
      <xdr:colOff>73025</xdr:colOff>
      <xdr:row>54</xdr:row>
      <xdr:rowOff>152400</xdr:rowOff>
    </xdr:to>
    <xdr:pic>
      <xdr:nvPicPr>
        <xdr:cNvPr id="5" name="Picture 4" descr="eq 3">
          <a:extLst>
            <a:ext uri="{FF2B5EF4-FFF2-40B4-BE49-F238E27FC236}">
              <a16:creationId xmlns:a16="http://schemas.microsoft.com/office/drawing/2014/main" id="{76C0FEC8-5AB1-4A97-BD4F-CA6A812170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67150" y="10106025"/>
          <a:ext cx="6435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82</xdr:row>
      <xdr:rowOff>63500</xdr:rowOff>
    </xdr:from>
    <xdr:to>
      <xdr:col>15</xdr:col>
      <xdr:colOff>158750</xdr:colOff>
      <xdr:row>85</xdr:row>
      <xdr:rowOff>34925</xdr:rowOff>
    </xdr:to>
    <xdr:pic>
      <xdr:nvPicPr>
        <xdr:cNvPr id="6" name="Picture 5" descr="eq 6">
          <a:extLst>
            <a:ext uri="{FF2B5EF4-FFF2-40B4-BE49-F238E27FC236}">
              <a16:creationId xmlns:a16="http://schemas.microsoft.com/office/drawing/2014/main" id="{76487954-2A32-462A-8B6A-E4F900FE74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92550" y="16503650"/>
          <a:ext cx="649605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9524</xdr:colOff>
      <xdr:row>1</xdr:row>
      <xdr:rowOff>171450</xdr:rowOff>
    </xdr:from>
    <xdr:to>
      <xdr:col>17</xdr:col>
      <xdr:colOff>314324</xdr:colOff>
      <xdr:row>34</xdr:row>
      <xdr:rowOff>114300</xdr:rowOff>
    </xdr:to>
    <xdr:graphicFrame macro="">
      <xdr:nvGraphicFramePr>
        <xdr:cNvPr id="14" name="Chart 2" title="Gas Content, gals/Mcf">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409575</xdr:colOff>
      <xdr:row>9</xdr:row>
      <xdr:rowOff>180975</xdr:rowOff>
    </xdr:from>
    <xdr:to>
      <xdr:col>13</xdr:col>
      <xdr:colOff>161925</xdr:colOff>
      <xdr:row>30</xdr:row>
      <xdr:rowOff>66675</xdr:rowOff>
    </xdr:to>
    <xdr:sp macro="" textlink="">
      <xdr:nvSpPr>
        <xdr:cNvPr id="4" name="Freeform 3">
          <a:extLst>
            <a:ext uri="{FF2B5EF4-FFF2-40B4-BE49-F238E27FC236}">
              <a16:creationId xmlns:a16="http://schemas.microsoft.com/office/drawing/2014/main" id="{00000000-0008-0000-0000-000004000000}"/>
            </a:ext>
          </a:extLst>
        </xdr:cNvPr>
        <xdr:cNvSpPr/>
      </xdr:nvSpPr>
      <xdr:spPr>
        <a:xfrm>
          <a:off x="1628775" y="1895475"/>
          <a:ext cx="6457950" cy="3886200"/>
        </a:xfrm>
        <a:custGeom>
          <a:avLst/>
          <a:gdLst>
            <a:gd name="connsiteX0" fmla="*/ 0 w 7581900"/>
            <a:gd name="connsiteY0" fmla="*/ 3714750 h 3714750"/>
            <a:gd name="connsiteX1" fmla="*/ 2105025 w 7581900"/>
            <a:gd name="connsiteY1" fmla="*/ 3676650 h 3714750"/>
            <a:gd name="connsiteX2" fmla="*/ 3457575 w 7581900"/>
            <a:gd name="connsiteY2" fmla="*/ 3533775 h 3714750"/>
            <a:gd name="connsiteX3" fmla="*/ 4200525 w 7581900"/>
            <a:gd name="connsiteY3" fmla="*/ 3248025 h 3714750"/>
            <a:gd name="connsiteX4" fmla="*/ 5429250 w 7581900"/>
            <a:gd name="connsiteY4" fmla="*/ 2533650 h 3714750"/>
            <a:gd name="connsiteX5" fmla="*/ 6400800 w 7581900"/>
            <a:gd name="connsiteY5" fmla="*/ 1552575 h 3714750"/>
            <a:gd name="connsiteX6" fmla="*/ 7581900 w 7581900"/>
            <a:gd name="connsiteY6" fmla="*/ 0 h 3714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581900" h="3714750">
              <a:moveTo>
                <a:pt x="0" y="3714750"/>
              </a:moveTo>
              <a:cubicBezTo>
                <a:pt x="764381" y="3710781"/>
                <a:pt x="1528762" y="3706813"/>
                <a:pt x="2105025" y="3676650"/>
              </a:cubicBezTo>
              <a:cubicBezTo>
                <a:pt x="2681288" y="3646487"/>
                <a:pt x="3108325" y="3605212"/>
                <a:pt x="3457575" y="3533775"/>
              </a:cubicBezTo>
              <a:cubicBezTo>
                <a:pt x="3806825" y="3462337"/>
                <a:pt x="3871913" y="3414712"/>
                <a:pt x="4200525" y="3248025"/>
              </a:cubicBezTo>
              <a:cubicBezTo>
                <a:pt x="4529137" y="3081338"/>
                <a:pt x="5062538" y="2816225"/>
                <a:pt x="5429250" y="2533650"/>
              </a:cubicBezTo>
              <a:cubicBezTo>
                <a:pt x="5795962" y="2251075"/>
                <a:pt x="6042025" y="1974850"/>
                <a:pt x="6400800" y="1552575"/>
              </a:cubicBezTo>
              <a:cubicBezTo>
                <a:pt x="6759575" y="1130300"/>
                <a:pt x="7170737" y="565150"/>
                <a:pt x="7581900" y="0"/>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390525</xdr:colOff>
      <xdr:row>12</xdr:row>
      <xdr:rowOff>171450</xdr:rowOff>
    </xdr:from>
    <xdr:to>
      <xdr:col>13</xdr:col>
      <xdr:colOff>457200</xdr:colOff>
      <xdr:row>30</xdr:row>
      <xdr:rowOff>57151</xdr:rowOff>
    </xdr:to>
    <xdr:sp macro="" textlink="">
      <xdr:nvSpPr>
        <xdr:cNvPr id="5" name="Freeform 4">
          <a:extLst>
            <a:ext uri="{FF2B5EF4-FFF2-40B4-BE49-F238E27FC236}">
              <a16:creationId xmlns:a16="http://schemas.microsoft.com/office/drawing/2014/main" id="{00000000-0008-0000-0000-000005000000}"/>
            </a:ext>
          </a:extLst>
        </xdr:cNvPr>
        <xdr:cNvSpPr/>
      </xdr:nvSpPr>
      <xdr:spPr>
        <a:xfrm>
          <a:off x="1609725" y="2457450"/>
          <a:ext cx="6772275" cy="3314701"/>
        </a:xfrm>
        <a:custGeom>
          <a:avLst/>
          <a:gdLst>
            <a:gd name="connsiteX0" fmla="*/ 0 w 7534275"/>
            <a:gd name="connsiteY0" fmla="*/ 2581275 h 2581275"/>
            <a:gd name="connsiteX1" fmla="*/ 3476625 w 7534275"/>
            <a:gd name="connsiteY1" fmla="*/ 2543175 h 2581275"/>
            <a:gd name="connsiteX2" fmla="*/ 4286250 w 7534275"/>
            <a:gd name="connsiteY2" fmla="*/ 2371725 h 2581275"/>
            <a:gd name="connsiteX3" fmla="*/ 5457825 w 7534275"/>
            <a:gd name="connsiteY3" fmla="*/ 1866900 h 2581275"/>
            <a:gd name="connsiteX4" fmla="*/ 6286500 w 7534275"/>
            <a:gd name="connsiteY4" fmla="*/ 1219200 h 2581275"/>
            <a:gd name="connsiteX5" fmla="*/ 7534275 w 7534275"/>
            <a:gd name="connsiteY5" fmla="*/ 0 h 25812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534275" h="2581275">
              <a:moveTo>
                <a:pt x="0" y="2581275"/>
              </a:moveTo>
              <a:lnTo>
                <a:pt x="3476625" y="2543175"/>
              </a:lnTo>
              <a:cubicBezTo>
                <a:pt x="4191000" y="2508250"/>
                <a:pt x="3956050" y="2484438"/>
                <a:pt x="4286250" y="2371725"/>
              </a:cubicBezTo>
              <a:cubicBezTo>
                <a:pt x="4616450" y="2259012"/>
                <a:pt x="5124450" y="2058987"/>
                <a:pt x="5457825" y="1866900"/>
              </a:cubicBezTo>
              <a:cubicBezTo>
                <a:pt x="5791200" y="1674813"/>
                <a:pt x="5940425" y="1530350"/>
                <a:pt x="6286500" y="1219200"/>
              </a:cubicBezTo>
              <a:cubicBezTo>
                <a:pt x="6632575" y="908050"/>
                <a:pt x="7083425" y="454025"/>
                <a:pt x="7534275" y="0"/>
              </a:cubicBezTo>
            </a:path>
          </a:pathLst>
        </a:cu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419099</xdr:colOff>
      <xdr:row>21</xdr:row>
      <xdr:rowOff>180976</xdr:rowOff>
    </xdr:from>
    <xdr:to>
      <xdr:col>11</xdr:col>
      <xdr:colOff>323850</xdr:colOff>
      <xdr:row>30</xdr:row>
      <xdr:rowOff>66676</xdr:rowOff>
    </xdr:to>
    <xdr:sp macro="" textlink="">
      <xdr:nvSpPr>
        <xdr:cNvPr id="6" name="Freeform 5">
          <a:extLst>
            <a:ext uri="{FF2B5EF4-FFF2-40B4-BE49-F238E27FC236}">
              <a16:creationId xmlns:a16="http://schemas.microsoft.com/office/drawing/2014/main" id="{00000000-0008-0000-0000-000006000000}"/>
            </a:ext>
          </a:extLst>
        </xdr:cNvPr>
        <xdr:cNvSpPr/>
      </xdr:nvSpPr>
      <xdr:spPr>
        <a:xfrm>
          <a:off x="1638299" y="4181476"/>
          <a:ext cx="5391151" cy="1600200"/>
        </a:xfrm>
        <a:custGeom>
          <a:avLst/>
          <a:gdLst>
            <a:gd name="connsiteX0" fmla="*/ 0 w 6029325"/>
            <a:gd name="connsiteY0" fmla="*/ 1238250 h 1238250"/>
            <a:gd name="connsiteX1" fmla="*/ 3343275 w 6029325"/>
            <a:gd name="connsiteY1" fmla="*/ 1143000 h 1238250"/>
            <a:gd name="connsiteX2" fmla="*/ 4914900 w 6029325"/>
            <a:gd name="connsiteY2" fmla="*/ 685800 h 1238250"/>
            <a:gd name="connsiteX3" fmla="*/ 5838825 w 6029325"/>
            <a:gd name="connsiteY3" fmla="*/ 161925 h 1238250"/>
            <a:gd name="connsiteX4" fmla="*/ 6029325 w 6029325"/>
            <a:gd name="connsiteY4" fmla="*/ 0 h 1238250"/>
            <a:gd name="connsiteX5" fmla="*/ 6029325 w 6029325"/>
            <a:gd name="connsiteY5" fmla="*/ 0 h 1238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029325" h="1238250">
              <a:moveTo>
                <a:pt x="0" y="1238250"/>
              </a:moveTo>
              <a:cubicBezTo>
                <a:pt x="1262062" y="1236662"/>
                <a:pt x="2524125" y="1235075"/>
                <a:pt x="3343275" y="1143000"/>
              </a:cubicBezTo>
              <a:cubicBezTo>
                <a:pt x="4162425" y="1050925"/>
                <a:pt x="4498975" y="849312"/>
                <a:pt x="4914900" y="685800"/>
              </a:cubicBezTo>
              <a:cubicBezTo>
                <a:pt x="5330825" y="522288"/>
                <a:pt x="5653088" y="276225"/>
                <a:pt x="5838825" y="161925"/>
              </a:cubicBezTo>
              <a:cubicBezTo>
                <a:pt x="6024562" y="47625"/>
                <a:pt x="6029325" y="0"/>
                <a:pt x="6029325" y="0"/>
              </a:cubicBezTo>
              <a:lnTo>
                <a:pt x="6029325" y="0"/>
              </a:lnTo>
            </a:path>
          </a:pathLst>
        </a:custGeom>
        <a:no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381000</xdr:colOff>
      <xdr:row>24</xdr:row>
      <xdr:rowOff>161926</xdr:rowOff>
    </xdr:from>
    <xdr:to>
      <xdr:col>11</xdr:col>
      <xdr:colOff>419100</xdr:colOff>
      <xdr:row>30</xdr:row>
      <xdr:rowOff>66676</xdr:rowOff>
    </xdr:to>
    <xdr:sp macro="" textlink="">
      <xdr:nvSpPr>
        <xdr:cNvPr id="8" name="Freeform 7">
          <a:extLst>
            <a:ext uri="{FF2B5EF4-FFF2-40B4-BE49-F238E27FC236}">
              <a16:creationId xmlns:a16="http://schemas.microsoft.com/office/drawing/2014/main" id="{00000000-0008-0000-0000-000008000000}"/>
            </a:ext>
          </a:extLst>
        </xdr:cNvPr>
        <xdr:cNvSpPr/>
      </xdr:nvSpPr>
      <xdr:spPr>
        <a:xfrm>
          <a:off x="1600200" y="4733926"/>
          <a:ext cx="5524500" cy="1047750"/>
        </a:xfrm>
        <a:custGeom>
          <a:avLst/>
          <a:gdLst>
            <a:gd name="connsiteX0" fmla="*/ 0 w 5514975"/>
            <a:gd name="connsiteY0" fmla="*/ 542925 h 542925"/>
            <a:gd name="connsiteX1" fmla="*/ 3171825 w 5514975"/>
            <a:gd name="connsiteY1" fmla="*/ 514350 h 542925"/>
            <a:gd name="connsiteX2" fmla="*/ 4400550 w 5514975"/>
            <a:gd name="connsiteY2" fmla="*/ 428625 h 542925"/>
            <a:gd name="connsiteX3" fmla="*/ 5067300 w 5514975"/>
            <a:gd name="connsiteY3" fmla="*/ 247650 h 542925"/>
            <a:gd name="connsiteX4" fmla="*/ 5514975 w 5514975"/>
            <a:gd name="connsiteY4" fmla="*/ 0 h 542925"/>
            <a:gd name="connsiteX5" fmla="*/ 5514975 w 5514975"/>
            <a:gd name="connsiteY5" fmla="*/ 0 h 542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14975" h="542925">
              <a:moveTo>
                <a:pt x="0" y="542925"/>
              </a:moveTo>
              <a:lnTo>
                <a:pt x="3171825" y="514350"/>
              </a:lnTo>
              <a:cubicBezTo>
                <a:pt x="3905250" y="495300"/>
                <a:pt x="4084638" y="473075"/>
                <a:pt x="4400550" y="428625"/>
              </a:cubicBezTo>
              <a:cubicBezTo>
                <a:pt x="4716462" y="384175"/>
                <a:pt x="4881563" y="319087"/>
                <a:pt x="5067300" y="247650"/>
              </a:cubicBezTo>
              <a:cubicBezTo>
                <a:pt x="5253037" y="176213"/>
                <a:pt x="5514975" y="0"/>
                <a:pt x="5514975" y="0"/>
              </a:cubicBezTo>
              <a:lnTo>
                <a:pt x="5514975" y="0"/>
              </a:lnTo>
            </a:path>
          </a:pathLst>
        </a:cu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13</xdr:col>
      <xdr:colOff>215900</xdr:colOff>
      <xdr:row>5</xdr:row>
      <xdr:rowOff>82550</xdr:rowOff>
    </xdr:from>
    <xdr:ext cx="978281" cy="436786"/>
    <xdr:sp macro="" textlink="">
      <xdr:nvSpPr>
        <xdr:cNvPr id="17" name="TextBox 16">
          <a:extLst>
            <a:ext uri="{FF2B5EF4-FFF2-40B4-BE49-F238E27FC236}">
              <a16:creationId xmlns:a16="http://schemas.microsoft.com/office/drawing/2014/main" id="{B1CD153A-09E3-2F6C-F968-AA8BA8EAAFE8}"/>
            </a:ext>
          </a:extLst>
        </xdr:cNvPr>
        <xdr:cNvSpPr txBox="1"/>
      </xdr:nvSpPr>
      <xdr:spPr>
        <a:xfrm>
          <a:off x="8140700" y="1035050"/>
          <a:ext cx="97828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Eagleford</a:t>
          </a:r>
          <a:r>
            <a:rPr lang="en-US" sz="1100" baseline="0"/>
            <a:t> </a:t>
          </a:r>
          <a:r>
            <a:rPr lang="en-US" sz="1100"/>
            <a:t>Ave</a:t>
          </a:r>
        </a:p>
        <a:p>
          <a:endParaRPr lang="en-US" sz="1100"/>
        </a:p>
      </xdr:txBody>
    </xdr:sp>
    <xdr:clientData/>
  </xdr:oneCellAnchor>
</xdr:wsDr>
</file>

<file path=xl/drawings/drawing18.xml><?xml version="1.0" encoding="utf-8"?>
<c:userShapes xmlns:c="http://schemas.openxmlformats.org/drawingml/2006/chart">
  <cdr:relSizeAnchor xmlns:cdr="http://schemas.openxmlformats.org/drawingml/2006/chartDrawing">
    <cdr:from>
      <cdr:x>0.09972</cdr:x>
      <cdr:y>0.14686</cdr:y>
    </cdr:from>
    <cdr:to>
      <cdr:x>0.7504</cdr:x>
      <cdr:y>0.8683</cdr:y>
    </cdr:to>
    <cdr:sp macro="" textlink="">
      <cdr:nvSpPr>
        <cdr:cNvPr id="2" name="Freeform 1"/>
        <cdr:cNvSpPr/>
      </cdr:nvSpPr>
      <cdr:spPr>
        <a:xfrm xmlns:a="http://schemas.openxmlformats.org/drawingml/2006/main">
          <a:off x="1000807" y="914400"/>
          <a:ext cx="6530294" cy="4491788"/>
        </a:xfrm>
        <a:custGeom xmlns:a="http://schemas.openxmlformats.org/drawingml/2006/main">
          <a:avLst/>
          <a:gdLst>
            <a:gd name="connsiteX0" fmla="*/ 0 w 7581900"/>
            <a:gd name="connsiteY0" fmla="*/ 4619625 h 4619625"/>
            <a:gd name="connsiteX1" fmla="*/ 2105025 w 7581900"/>
            <a:gd name="connsiteY1" fmla="*/ 4591050 h 4619625"/>
            <a:gd name="connsiteX2" fmla="*/ 3524250 w 7581900"/>
            <a:gd name="connsiteY2" fmla="*/ 4257675 h 4619625"/>
            <a:gd name="connsiteX3" fmla="*/ 4762500 w 7581900"/>
            <a:gd name="connsiteY3" fmla="*/ 3457575 h 4619625"/>
            <a:gd name="connsiteX4" fmla="*/ 6267450 w 7581900"/>
            <a:gd name="connsiteY4" fmla="*/ 1819275 h 4619625"/>
            <a:gd name="connsiteX5" fmla="*/ 7581900 w 7581900"/>
            <a:gd name="connsiteY5" fmla="*/ 0 h 4619625"/>
            <a:gd name="connsiteX6" fmla="*/ 7581900 w 7581900"/>
            <a:gd name="connsiteY6" fmla="*/ 0 h 4619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581900" h="4619625">
              <a:moveTo>
                <a:pt x="0" y="4619625"/>
              </a:moveTo>
              <a:lnTo>
                <a:pt x="2105025" y="4591050"/>
              </a:lnTo>
              <a:cubicBezTo>
                <a:pt x="2692400" y="4530725"/>
                <a:pt x="3081338" y="4446587"/>
                <a:pt x="3524250" y="4257675"/>
              </a:cubicBezTo>
              <a:cubicBezTo>
                <a:pt x="3967163" y="4068762"/>
                <a:pt x="4305300" y="3863975"/>
                <a:pt x="4762500" y="3457575"/>
              </a:cubicBezTo>
              <a:cubicBezTo>
                <a:pt x="5219700" y="3051175"/>
                <a:pt x="5797550" y="2395537"/>
                <a:pt x="6267450" y="1819275"/>
              </a:cubicBezTo>
              <a:cubicBezTo>
                <a:pt x="6737350" y="1243013"/>
                <a:pt x="7581900" y="0"/>
                <a:pt x="7581900" y="0"/>
              </a:cubicBezTo>
              <a:lnTo>
                <a:pt x="7581900" y="0"/>
              </a:lnTo>
            </a:path>
          </a:pathLst>
        </a:custGeom>
        <a:noFill xmlns:a="http://schemas.openxmlformats.org/drawingml/2006/main"/>
        <a:ln xmlns:a="http://schemas.openxmlformats.org/drawingml/2006/main">
          <a:solidFill>
            <a:schemeClr val="accent2">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0.09971</cdr:x>
      <cdr:y>0.85452</cdr:y>
    </cdr:from>
    <cdr:to>
      <cdr:x>0.66762</cdr:x>
      <cdr:y>0.86218</cdr:y>
    </cdr:to>
    <cdr:sp macro="" textlink="">
      <cdr:nvSpPr>
        <cdr:cNvPr id="3" name="Freeform 2"/>
        <cdr:cNvSpPr/>
      </cdr:nvSpPr>
      <cdr:spPr>
        <a:xfrm xmlns:a="http://schemas.openxmlformats.org/drawingml/2006/main">
          <a:off x="1000077" y="5314939"/>
          <a:ext cx="5696038" cy="47644"/>
        </a:xfrm>
        <a:custGeom xmlns:a="http://schemas.openxmlformats.org/drawingml/2006/main">
          <a:avLst/>
          <a:gdLst>
            <a:gd name="connsiteX0" fmla="*/ 0 w 5928932"/>
            <a:gd name="connsiteY0" fmla="*/ 111190 h 111190"/>
            <a:gd name="connsiteX1" fmla="*/ 2124075 w 5928932"/>
            <a:gd name="connsiteY1" fmla="*/ 101665 h 111190"/>
            <a:gd name="connsiteX2" fmla="*/ 4562475 w 5928932"/>
            <a:gd name="connsiteY2" fmla="*/ 101665 h 111190"/>
            <a:gd name="connsiteX3" fmla="*/ 5324475 w 5928932"/>
            <a:gd name="connsiteY3" fmla="*/ 82615 h 111190"/>
            <a:gd name="connsiteX4" fmla="*/ 5743575 w 5928932"/>
            <a:gd name="connsiteY4" fmla="*/ 73090 h 111190"/>
            <a:gd name="connsiteX5" fmla="*/ 5905500 w 5928932"/>
            <a:gd name="connsiteY5" fmla="*/ 6415 h 111190"/>
            <a:gd name="connsiteX6" fmla="*/ 5924550 w 5928932"/>
            <a:gd name="connsiteY6" fmla="*/ 6415 h 1111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928932" h="111190">
              <a:moveTo>
                <a:pt x="0" y="111190"/>
              </a:moveTo>
              <a:lnTo>
                <a:pt x="2124075" y="101665"/>
              </a:lnTo>
              <a:lnTo>
                <a:pt x="4562475" y="101665"/>
              </a:lnTo>
              <a:cubicBezTo>
                <a:pt x="5095875" y="98490"/>
                <a:pt x="5324475" y="82615"/>
                <a:pt x="5324475" y="82615"/>
              </a:cubicBezTo>
              <a:cubicBezTo>
                <a:pt x="5521325" y="77853"/>
                <a:pt x="5646738" y="85790"/>
                <a:pt x="5743575" y="73090"/>
              </a:cubicBezTo>
              <a:cubicBezTo>
                <a:pt x="5840413" y="60390"/>
                <a:pt x="5875338" y="17527"/>
                <a:pt x="5905500" y="6415"/>
              </a:cubicBezTo>
              <a:cubicBezTo>
                <a:pt x="5935662" y="-4697"/>
                <a:pt x="5930106" y="859"/>
                <a:pt x="5924550" y="6415"/>
              </a:cubicBezTo>
            </a:path>
          </a:pathLst>
        </a:custGeom>
        <a:noFill xmlns:a="http://schemas.openxmlformats.org/drawingml/2006/main"/>
        <a:ln xmlns:a="http://schemas.openxmlformats.org/drawingml/2006/main">
          <a:solidFill>
            <a:schemeClr val="accent6">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0.36942</cdr:x>
      <cdr:y>0.91271</cdr:y>
    </cdr:from>
    <cdr:to>
      <cdr:x>0.56315</cdr:x>
      <cdr:y>0.96172</cdr:y>
    </cdr:to>
    <cdr:sp macro="" textlink="">
      <cdr:nvSpPr>
        <cdr:cNvPr id="4" name="TextBox 3"/>
        <cdr:cNvSpPr txBox="1"/>
      </cdr:nvSpPr>
      <cdr:spPr>
        <a:xfrm xmlns:a="http://schemas.openxmlformats.org/drawingml/2006/main">
          <a:off x="3707564" y="5682692"/>
          <a:ext cx="1944308" cy="3051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Gas</a:t>
          </a:r>
          <a:r>
            <a:rPr lang="en-US" sz="1100" b="1" baseline="0"/>
            <a:t> Content, gals per Mcf</a:t>
          </a:r>
          <a:endParaRPr lang="en-US" sz="1100" b="1"/>
        </a:p>
      </cdr:txBody>
    </cdr:sp>
  </cdr:relSizeAnchor>
  <cdr:relSizeAnchor xmlns:cdr="http://schemas.openxmlformats.org/drawingml/2006/chartDrawing">
    <cdr:from>
      <cdr:x>0.02374</cdr:x>
      <cdr:y>0.25115</cdr:y>
    </cdr:from>
    <cdr:to>
      <cdr:x>0.05983</cdr:x>
      <cdr:y>0.69525</cdr:y>
    </cdr:to>
    <cdr:sp macro="" textlink="">
      <cdr:nvSpPr>
        <cdr:cNvPr id="5" name="TextBox 4"/>
        <cdr:cNvSpPr txBox="1"/>
      </cdr:nvSpPr>
      <cdr:spPr>
        <a:xfrm xmlns:a="http://schemas.openxmlformats.org/drawingml/2006/main" rot="16200000">
          <a:off x="-962024" y="2762250"/>
          <a:ext cx="2762250" cy="3619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Hydrocarbon</a:t>
          </a:r>
          <a:r>
            <a:rPr lang="en-US" sz="1100" b="1" baseline="0"/>
            <a:t> Drop Out, Bpd (per 100MMscfd)</a:t>
          </a:r>
        </a:p>
      </cdr:txBody>
    </cdr:sp>
  </cdr:relSizeAnchor>
  <cdr:relSizeAnchor xmlns:cdr="http://schemas.openxmlformats.org/drawingml/2006/chartDrawing">
    <cdr:from>
      <cdr:x>0.10446</cdr:x>
      <cdr:y>0.291</cdr:y>
    </cdr:from>
    <cdr:to>
      <cdr:x>0.67047</cdr:x>
      <cdr:y>0.43801</cdr:y>
    </cdr:to>
    <cdr:sp macro="" textlink="">
      <cdr:nvSpPr>
        <cdr:cNvPr id="7" name="TextBox 6"/>
        <cdr:cNvSpPr txBox="1"/>
      </cdr:nvSpPr>
      <cdr:spPr>
        <a:xfrm xmlns:a="http://schemas.openxmlformats.org/drawingml/2006/main">
          <a:off x="1048360" y="1811842"/>
          <a:ext cx="5680576" cy="9153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Winter:</a:t>
          </a:r>
          <a:r>
            <a:rPr lang="en-US" sz="1000" baseline="0"/>
            <a:t>  75F @ Compressor Cooler discharge,  51F Ground Temp, 31F - 74F Ave Ambient Temp</a:t>
          </a:r>
        </a:p>
        <a:p xmlns:a="http://schemas.openxmlformats.org/drawingml/2006/main">
          <a:r>
            <a:rPr lang="en-US" sz="1000" baseline="0"/>
            <a:t>Summer: 136F @ Compressor Cooler  discharge, 83 F Ground Temp, 67F - 95F Ave Ambient Temp</a:t>
          </a:r>
        </a:p>
        <a:p xmlns:a="http://schemas.openxmlformats.org/drawingml/2006/main">
          <a:r>
            <a:rPr lang="en-US" sz="1000" baseline="0"/>
            <a:t>Average:  102F @ Compressor Cooler discharge, 67 F Ground Temp, 51F - 80F Ave Ambient Temp</a:t>
          </a:r>
          <a:endParaRPr lang="en-US" sz="1000"/>
        </a:p>
      </cdr:txBody>
    </cdr:sp>
  </cdr:relSizeAnchor>
  <cdr:relSizeAnchor xmlns:cdr="http://schemas.openxmlformats.org/drawingml/2006/chartDrawing">
    <cdr:from>
      <cdr:x>0.33143</cdr:x>
      <cdr:y>0.04288</cdr:y>
    </cdr:from>
    <cdr:to>
      <cdr:x>0.67901</cdr:x>
      <cdr:y>0.10873</cdr:y>
    </cdr:to>
    <cdr:sp macro="" textlink="">
      <cdr:nvSpPr>
        <cdr:cNvPr id="8" name="TextBox 7"/>
        <cdr:cNvSpPr txBox="1"/>
      </cdr:nvSpPr>
      <cdr:spPr>
        <a:xfrm xmlns:a="http://schemas.openxmlformats.org/drawingml/2006/main">
          <a:off x="3324226" y="266700"/>
          <a:ext cx="3486150" cy="4095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t>Hydrocarbon Dropout</a:t>
          </a:r>
          <a:r>
            <a:rPr lang="en-US" sz="2000" b="1" baseline="0"/>
            <a:t> Rates </a:t>
          </a:r>
          <a:r>
            <a:rPr lang="en-US" sz="2000" b="1" baseline="30000"/>
            <a:t>(1)</a:t>
          </a:r>
        </a:p>
      </cdr:txBody>
    </cdr:sp>
  </cdr:relSizeAnchor>
  <cdr:relSizeAnchor xmlns:cdr="http://schemas.openxmlformats.org/drawingml/2006/chartDrawing">
    <cdr:from>
      <cdr:x>0.59073</cdr:x>
      <cdr:y>0.9163</cdr:y>
    </cdr:from>
    <cdr:to>
      <cdr:x>0.96678</cdr:x>
      <cdr:y>0.99847</cdr:y>
    </cdr:to>
    <cdr:sp macro="" textlink="">
      <cdr:nvSpPr>
        <cdr:cNvPr id="9" name="TextBox 8"/>
        <cdr:cNvSpPr txBox="1"/>
      </cdr:nvSpPr>
      <cdr:spPr>
        <a:xfrm xmlns:a="http://schemas.openxmlformats.org/drawingml/2006/main">
          <a:off x="5928629" y="5705058"/>
          <a:ext cx="3774172" cy="5115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(1) Hydrocarbon dropout rate includes pipeline and compression</a:t>
          </a:r>
          <a:r>
            <a:rPr lang="en-US" sz="900" baseline="0"/>
            <a:t> liquids  based on attached configuration as shown in drawing, and the use of process models of various conditions and gas compostions</a:t>
          </a:r>
        </a:p>
        <a:p xmlns:a="http://schemas.openxmlformats.org/drawingml/2006/main">
          <a:endParaRPr lang="en-US" sz="900" baseline="0"/>
        </a:p>
      </cdr:txBody>
    </cdr:sp>
  </cdr:relSizeAnchor>
  <cdr:relSizeAnchor xmlns:cdr="http://schemas.openxmlformats.org/drawingml/2006/chartDrawing">
    <cdr:from>
      <cdr:x>0.10313</cdr:x>
      <cdr:y>0.07838</cdr:y>
    </cdr:from>
    <cdr:to>
      <cdr:x>0.74814</cdr:x>
      <cdr:y>0.85724</cdr:y>
    </cdr:to>
    <cdr:sp macro="" textlink="">
      <cdr:nvSpPr>
        <cdr:cNvPr id="12" name="Freeform: Shape 11">
          <a:extLst xmlns:a="http://schemas.openxmlformats.org/drawingml/2006/main">
            <a:ext uri="{FF2B5EF4-FFF2-40B4-BE49-F238E27FC236}">
              <a16:creationId xmlns:a16="http://schemas.microsoft.com/office/drawing/2014/main" id="{384B6CB3-AA12-A0C7-B63A-588ADE27B7CD}"/>
            </a:ext>
          </a:extLst>
        </cdr:cNvPr>
        <cdr:cNvSpPr/>
      </cdr:nvSpPr>
      <cdr:spPr>
        <a:xfrm xmlns:a="http://schemas.openxmlformats.org/drawingml/2006/main">
          <a:off x="1035051" y="487987"/>
          <a:ext cx="6473388" cy="4849316"/>
        </a:xfrm>
        <a:custGeom xmlns:a="http://schemas.openxmlformats.org/drawingml/2006/main">
          <a:avLst/>
          <a:gdLst>
            <a:gd name="connsiteX0" fmla="*/ 0 w 6473388"/>
            <a:gd name="connsiteY0" fmla="*/ 4833313 h 4849316"/>
            <a:gd name="connsiteX1" fmla="*/ 939800 w 6473388"/>
            <a:gd name="connsiteY1" fmla="*/ 4826963 h 4849316"/>
            <a:gd name="connsiteX2" fmla="*/ 2247900 w 6473388"/>
            <a:gd name="connsiteY2" fmla="*/ 4617413 h 4849316"/>
            <a:gd name="connsiteX3" fmla="*/ 4165600 w 6473388"/>
            <a:gd name="connsiteY3" fmla="*/ 3150563 h 4849316"/>
            <a:gd name="connsiteX4" fmla="*/ 6261100 w 6473388"/>
            <a:gd name="connsiteY4" fmla="*/ 280363 h 4849316"/>
            <a:gd name="connsiteX5" fmla="*/ 6292850 w 6473388"/>
            <a:gd name="connsiteY5" fmla="*/ 267663 h 48493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473388" h="4849316">
              <a:moveTo>
                <a:pt x="0" y="4833313"/>
              </a:moveTo>
              <a:cubicBezTo>
                <a:pt x="282575" y="4848129"/>
                <a:pt x="565150" y="4862946"/>
                <a:pt x="939800" y="4826963"/>
              </a:cubicBezTo>
              <a:cubicBezTo>
                <a:pt x="1314450" y="4790980"/>
                <a:pt x="1710267" y="4896813"/>
                <a:pt x="2247900" y="4617413"/>
              </a:cubicBezTo>
              <a:cubicBezTo>
                <a:pt x="2785533" y="4338013"/>
                <a:pt x="3496733" y="3873405"/>
                <a:pt x="4165600" y="3150563"/>
              </a:cubicBezTo>
              <a:cubicBezTo>
                <a:pt x="4834467" y="2427721"/>
                <a:pt x="5906558" y="760846"/>
                <a:pt x="6261100" y="280363"/>
              </a:cubicBezTo>
              <a:cubicBezTo>
                <a:pt x="6615642" y="-200120"/>
                <a:pt x="6454246" y="33771"/>
                <a:pt x="6292850" y="267663"/>
              </a:cubicBezTo>
            </a:path>
          </a:pathLst>
        </a:custGeom>
        <a:noFill xmlns:a="http://schemas.openxmlformats.org/drawingml/2006/mai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0.65359</cdr:x>
      <cdr:y>0.67211</cdr:y>
    </cdr:from>
    <cdr:to>
      <cdr:x>0.7447</cdr:x>
      <cdr:y>0.81897</cdr:y>
    </cdr:to>
    <cdr:sp macro="" textlink="">
      <cdr:nvSpPr>
        <cdr:cNvPr id="13" name="TextBox 12">
          <a:extLst xmlns:a="http://schemas.openxmlformats.org/drawingml/2006/main">
            <a:ext uri="{FF2B5EF4-FFF2-40B4-BE49-F238E27FC236}">
              <a16:creationId xmlns:a16="http://schemas.microsoft.com/office/drawing/2014/main" id="{2D1243AD-5489-E830-39E4-55CAE66536EB}"/>
            </a:ext>
          </a:extLst>
        </cdr:cNvPr>
        <cdr:cNvSpPr txBox="1"/>
      </cdr:nvSpPr>
      <cdr:spPr>
        <a:xfrm xmlns:a="http://schemas.openxmlformats.org/drawingml/2006/main">
          <a:off x="6559551" y="41846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Delaware Ave</a:t>
          </a:r>
        </a:p>
      </cdr:txBody>
    </cdr:sp>
  </cdr:relSizeAnchor>
  <cdr:relSizeAnchor xmlns:cdr="http://schemas.openxmlformats.org/drawingml/2006/chartDrawing">
    <cdr:from>
      <cdr:x>0.78013</cdr:x>
      <cdr:y>0.30903</cdr:y>
    </cdr:from>
    <cdr:to>
      <cdr:x>0.87124</cdr:x>
      <cdr:y>0.45589</cdr:y>
    </cdr:to>
    <cdr:sp macro="" textlink="">
      <cdr:nvSpPr>
        <cdr:cNvPr id="14" name="TextBox 13">
          <a:extLst xmlns:a="http://schemas.openxmlformats.org/drawingml/2006/main">
            <a:ext uri="{FF2B5EF4-FFF2-40B4-BE49-F238E27FC236}">
              <a16:creationId xmlns:a16="http://schemas.microsoft.com/office/drawing/2014/main" id="{D921DBFE-3C2D-B009-9E50-498482B926E2}"/>
            </a:ext>
          </a:extLst>
        </cdr:cNvPr>
        <cdr:cNvSpPr txBox="1"/>
      </cdr:nvSpPr>
      <cdr:spPr>
        <a:xfrm xmlns:a="http://schemas.openxmlformats.org/drawingml/2006/main">
          <a:off x="7829551" y="19240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Typical Ave</a:t>
          </a:r>
        </a:p>
      </cdr:txBody>
    </cdr:sp>
  </cdr:relSizeAnchor>
  <cdr:relSizeAnchor xmlns:cdr="http://schemas.openxmlformats.org/drawingml/2006/chartDrawing">
    <cdr:from>
      <cdr:x>0.67257</cdr:x>
      <cdr:y>0.83121</cdr:y>
    </cdr:from>
    <cdr:to>
      <cdr:x>0.76368</cdr:x>
      <cdr:y>0.97807</cdr:y>
    </cdr:to>
    <cdr:sp macro="" textlink="">
      <cdr:nvSpPr>
        <cdr:cNvPr id="15" name="TextBox 14">
          <a:extLst xmlns:a="http://schemas.openxmlformats.org/drawingml/2006/main">
            <a:ext uri="{FF2B5EF4-FFF2-40B4-BE49-F238E27FC236}">
              <a16:creationId xmlns:a16="http://schemas.microsoft.com/office/drawing/2014/main" id="{51C02F28-FF13-2E03-A648-873C2D2A5210}"/>
            </a:ext>
          </a:extLst>
        </cdr:cNvPr>
        <cdr:cNvSpPr txBox="1"/>
      </cdr:nvSpPr>
      <cdr:spPr>
        <a:xfrm xmlns:a="http://schemas.openxmlformats.org/drawingml/2006/main">
          <a:off x="6750051" y="51752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Delaware Summer</a:t>
          </a:r>
        </a:p>
        <a:p xmlns:a="http://schemas.openxmlformats.org/drawingml/2006/main">
          <a:endParaRPr lang="en-US" sz="1100" kern="1200"/>
        </a:p>
      </cdr:txBody>
    </cdr:sp>
  </cdr:relSizeAnchor>
  <cdr:relSizeAnchor xmlns:cdr="http://schemas.openxmlformats.org/drawingml/2006/chartDrawing">
    <cdr:from>
      <cdr:x>0.64537</cdr:x>
      <cdr:y>0.60071</cdr:y>
    </cdr:from>
    <cdr:to>
      <cdr:x>0.73648</cdr:x>
      <cdr:y>0.74758</cdr:y>
    </cdr:to>
    <cdr:sp macro="" textlink="">
      <cdr:nvSpPr>
        <cdr:cNvPr id="16" name="TextBox 15">
          <a:extLst xmlns:a="http://schemas.openxmlformats.org/drawingml/2006/main">
            <a:ext uri="{FF2B5EF4-FFF2-40B4-BE49-F238E27FC236}">
              <a16:creationId xmlns:a16="http://schemas.microsoft.com/office/drawing/2014/main" id="{D361C3A4-DB6D-C6D0-9E6F-BFC5957BCF2D}"/>
            </a:ext>
          </a:extLst>
        </cdr:cNvPr>
        <cdr:cNvSpPr txBox="1"/>
      </cdr:nvSpPr>
      <cdr:spPr>
        <a:xfrm xmlns:a="http://schemas.openxmlformats.org/drawingml/2006/main">
          <a:off x="6477001" y="37401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Delaware Winter</a:t>
          </a:r>
        </a:p>
      </cdr:txBody>
    </cdr:sp>
  </cdr:relSizeAnchor>
  <cdr:relSizeAnchor xmlns:cdr="http://schemas.openxmlformats.org/drawingml/2006/chartDrawing">
    <cdr:from>
      <cdr:x>0.75103</cdr:x>
      <cdr:y>0.04691</cdr:y>
    </cdr:from>
    <cdr:to>
      <cdr:x>0.84214</cdr:x>
      <cdr:y>0.19378</cdr:y>
    </cdr:to>
    <cdr:sp macro="" textlink="">
      <cdr:nvSpPr>
        <cdr:cNvPr id="17" name="TextBox 16">
          <a:extLst xmlns:a="http://schemas.openxmlformats.org/drawingml/2006/main">
            <a:ext uri="{FF2B5EF4-FFF2-40B4-BE49-F238E27FC236}">
              <a16:creationId xmlns:a16="http://schemas.microsoft.com/office/drawing/2014/main" id="{F6129035-3764-ED19-FCD8-41784B1BF146}"/>
            </a:ext>
          </a:extLst>
        </cdr:cNvPr>
        <cdr:cNvSpPr txBox="1"/>
      </cdr:nvSpPr>
      <cdr:spPr>
        <a:xfrm xmlns:a="http://schemas.openxmlformats.org/drawingml/2006/main">
          <a:off x="7537451" y="292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Eagleford Winter</a:t>
          </a:r>
        </a:p>
      </cdr:txBody>
    </cdr:sp>
  </cdr:relSizeAnchor>
  <cdr:relSizeAnchor xmlns:cdr="http://schemas.openxmlformats.org/drawingml/2006/chartDrawing">
    <cdr:from>
      <cdr:x>0.74786</cdr:x>
      <cdr:y>0.21826</cdr:y>
    </cdr:from>
    <cdr:to>
      <cdr:x>0.83898</cdr:x>
      <cdr:y>0.36512</cdr:y>
    </cdr:to>
    <cdr:sp macro="" textlink="">
      <cdr:nvSpPr>
        <cdr:cNvPr id="18" name="TextBox 17">
          <a:extLst xmlns:a="http://schemas.openxmlformats.org/drawingml/2006/main">
            <a:ext uri="{FF2B5EF4-FFF2-40B4-BE49-F238E27FC236}">
              <a16:creationId xmlns:a16="http://schemas.microsoft.com/office/drawing/2014/main" id="{4BC98468-6E42-46BE-41D3-946D64BEE9BA}"/>
            </a:ext>
          </a:extLst>
        </cdr:cNvPr>
        <cdr:cNvSpPr txBox="1"/>
      </cdr:nvSpPr>
      <cdr:spPr>
        <a:xfrm xmlns:a="http://schemas.openxmlformats.org/drawingml/2006/main">
          <a:off x="7505701" y="1358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kern="1200"/>
            <a:t>Eaglefore Summer</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245534</xdr:colOff>
      <xdr:row>5</xdr:row>
      <xdr:rowOff>152400</xdr:rowOff>
    </xdr:from>
    <xdr:to>
      <xdr:col>22</xdr:col>
      <xdr:colOff>169333</xdr:colOff>
      <xdr:row>26</xdr:row>
      <xdr:rowOff>187325</xdr:rowOff>
    </xdr:to>
    <xdr:sp macro="" textlink="">
      <xdr:nvSpPr>
        <xdr:cNvPr id="2" name="Rectangle 1">
          <a:extLst>
            <a:ext uri="{FF2B5EF4-FFF2-40B4-BE49-F238E27FC236}">
              <a16:creationId xmlns:a16="http://schemas.microsoft.com/office/drawing/2014/main" id="{9C69CB83-4013-4544-875C-08885B46C4CB}"/>
            </a:ext>
          </a:extLst>
        </xdr:cNvPr>
        <xdr:cNvSpPr/>
      </xdr:nvSpPr>
      <xdr:spPr>
        <a:xfrm>
          <a:off x="493184" y="11811000"/>
          <a:ext cx="14960599" cy="40354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10</xdr:col>
      <xdr:colOff>134149</xdr:colOff>
      <xdr:row>82</xdr:row>
      <xdr:rowOff>187325</xdr:rowOff>
    </xdr:to>
    <xdr:pic>
      <xdr:nvPicPr>
        <xdr:cNvPr id="2" name="Graphic 4">
          <a:extLst>
            <a:ext uri="{FF2B5EF4-FFF2-40B4-BE49-F238E27FC236}">
              <a16:creationId xmlns:a16="http://schemas.microsoft.com/office/drawing/2014/main" id="{CF74FD6E-E852-477A-9CA7-555FD9A513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4800" y="10086975"/>
          <a:ext cx="7192174" cy="475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10</xdr:col>
      <xdr:colOff>134149</xdr:colOff>
      <xdr:row>82</xdr:row>
      <xdr:rowOff>187325</xdr:rowOff>
    </xdr:to>
    <xdr:pic>
      <xdr:nvPicPr>
        <xdr:cNvPr id="2" name="Graphic 4">
          <a:extLst>
            <a:ext uri="{FF2B5EF4-FFF2-40B4-BE49-F238E27FC236}">
              <a16:creationId xmlns:a16="http://schemas.microsoft.com/office/drawing/2014/main" id="{D2F55869-A3F2-400C-8081-83AFCD699B1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4800" y="10125075"/>
          <a:ext cx="7192174" cy="4752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127000</xdr:colOff>
      <xdr:row>29</xdr:row>
      <xdr:rowOff>12700</xdr:rowOff>
    </xdr:from>
    <xdr:to>
      <xdr:col>4</xdr:col>
      <xdr:colOff>801396</xdr:colOff>
      <xdr:row>32</xdr:row>
      <xdr:rowOff>15876</xdr:rowOff>
    </xdr:to>
    <xdr:pic>
      <xdr:nvPicPr>
        <xdr:cNvPr id="2" name="Picture 1">
          <a:extLst>
            <a:ext uri="{FF2B5EF4-FFF2-40B4-BE49-F238E27FC236}">
              <a16:creationId xmlns:a16="http://schemas.microsoft.com/office/drawing/2014/main" id="{0B86BDF5-7ED2-4E93-B8DD-120DFAA9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100" y="6251575"/>
          <a:ext cx="1541171" cy="57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678414</xdr:colOff>
      <xdr:row>249</xdr:row>
      <xdr:rowOff>27992</xdr:rowOff>
    </xdr:from>
    <xdr:to>
      <xdr:col>13</xdr:col>
      <xdr:colOff>79700</xdr:colOff>
      <xdr:row>266</xdr:row>
      <xdr:rowOff>49763</xdr:rowOff>
    </xdr:to>
    <xdr:graphicFrame macro="">
      <xdr:nvGraphicFramePr>
        <xdr:cNvPr id="3" name="Chart 2">
          <a:extLst>
            <a:ext uri="{FF2B5EF4-FFF2-40B4-BE49-F238E27FC236}">
              <a16:creationId xmlns:a16="http://schemas.microsoft.com/office/drawing/2014/main" id="{44FA3DA1-51A8-479C-8131-AEED319C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790185</xdr:colOff>
      <xdr:row>266</xdr:row>
      <xdr:rowOff>66869</xdr:rowOff>
    </xdr:from>
    <xdr:to>
      <xdr:col>13</xdr:col>
      <xdr:colOff>191471</xdr:colOff>
      <xdr:row>280</xdr:row>
      <xdr:rowOff>88641</xdr:rowOff>
    </xdr:to>
    <xdr:graphicFrame macro="">
      <xdr:nvGraphicFramePr>
        <xdr:cNvPr id="4" name="Chart 3">
          <a:extLst>
            <a:ext uri="{FF2B5EF4-FFF2-40B4-BE49-F238E27FC236}">
              <a16:creationId xmlns:a16="http://schemas.microsoft.com/office/drawing/2014/main" id="{F52EB673-69D2-4ED6-8099-DA61FF5CC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127000</xdr:colOff>
      <xdr:row>29</xdr:row>
      <xdr:rowOff>12700</xdr:rowOff>
    </xdr:from>
    <xdr:to>
      <xdr:col>4</xdr:col>
      <xdr:colOff>801396</xdr:colOff>
      <xdr:row>32</xdr:row>
      <xdr:rowOff>15876</xdr:rowOff>
    </xdr:to>
    <xdr:pic>
      <xdr:nvPicPr>
        <xdr:cNvPr id="2" name="Picture 1">
          <a:extLst>
            <a:ext uri="{FF2B5EF4-FFF2-40B4-BE49-F238E27FC236}">
              <a16:creationId xmlns:a16="http://schemas.microsoft.com/office/drawing/2014/main" id="{0DFBBF8C-E1CD-48E0-8FD3-C5A82042F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100" y="6251575"/>
          <a:ext cx="1541171" cy="57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678414</xdr:colOff>
      <xdr:row>249</xdr:row>
      <xdr:rowOff>27992</xdr:rowOff>
    </xdr:from>
    <xdr:to>
      <xdr:col>13</xdr:col>
      <xdr:colOff>79700</xdr:colOff>
      <xdr:row>266</xdr:row>
      <xdr:rowOff>49763</xdr:rowOff>
    </xdr:to>
    <xdr:graphicFrame macro="">
      <xdr:nvGraphicFramePr>
        <xdr:cNvPr id="3" name="Chart 2">
          <a:extLst>
            <a:ext uri="{FF2B5EF4-FFF2-40B4-BE49-F238E27FC236}">
              <a16:creationId xmlns:a16="http://schemas.microsoft.com/office/drawing/2014/main" id="{299BCD38-63B2-4175-A549-54048BA6B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790185</xdr:colOff>
      <xdr:row>266</xdr:row>
      <xdr:rowOff>66869</xdr:rowOff>
    </xdr:from>
    <xdr:to>
      <xdr:col>13</xdr:col>
      <xdr:colOff>191471</xdr:colOff>
      <xdr:row>280</xdr:row>
      <xdr:rowOff>88641</xdr:rowOff>
    </xdr:to>
    <xdr:graphicFrame macro="">
      <xdr:nvGraphicFramePr>
        <xdr:cNvPr id="4" name="Chart 3">
          <a:extLst>
            <a:ext uri="{FF2B5EF4-FFF2-40B4-BE49-F238E27FC236}">
              <a16:creationId xmlns:a16="http://schemas.microsoft.com/office/drawing/2014/main" id="{B5AB13B6-E229-4874-A3F6-376A6F2A8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6</xdr:row>
      <xdr:rowOff>0</xdr:rowOff>
    </xdr:from>
    <xdr:to>
      <xdr:col>12</xdr:col>
      <xdr:colOff>571735</xdr:colOff>
      <xdr:row>40</xdr:row>
      <xdr:rowOff>23812</xdr:rowOff>
    </xdr:to>
    <xdr:pic>
      <xdr:nvPicPr>
        <xdr:cNvPr id="2" name="907C1A2D-A466-4F59-9B96-D4FBD3F1D018" descr="cid:907C1A2D-A466-4F59-9B96-D4FBD3F1D018">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1000" y="0"/>
          <a:ext cx="7505935" cy="650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44450</xdr:colOff>
      <xdr:row>15</xdr:row>
      <xdr:rowOff>88900</xdr:rowOff>
    </xdr:from>
    <xdr:to>
      <xdr:col>9</xdr:col>
      <xdr:colOff>457200</xdr:colOff>
      <xdr:row>32</xdr:row>
      <xdr:rowOff>76200</xdr:rowOff>
    </xdr:to>
    <xdr:sp macro="" textlink="">
      <xdr:nvSpPr>
        <xdr:cNvPr id="12" name="TextBox 11">
          <a:extLst>
            <a:ext uri="{FF2B5EF4-FFF2-40B4-BE49-F238E27FC236}">
              <a16:creationId xmlns:a16="http://schemas.microsoft.com/office/drawing/2014/main" id="{BB3A357F-CAFC-A780-8308-6363E16A28AA}"/>
            </a:ext>
          </a:extLst>
        </xdr:cNvPr>
        <xdr:cNvSpPr txBox="1"/>
      </xdr:nvSpPr>
      <xdr:spPr>
        <a:xfrm>
          <a:off x="44450" y="3022600"/>
          <a:ext cx="6508750" cy="3276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88900</xdr:colOff>
      <xdr:row>32</xdr:row>
      <xdr:rowOff>171450</xdr:rowOff>
    </xdr:from>
    <xdr:to>
      <xdr:col>4</xdr:col>
      <xdr:colOff>381000</xdr:colOff>
      <xdr:row>49</xdr:row>
      <xdr:rowOff>146050</xdr:rowOff>
    </xdr:to>
    <xdr:sp macro="" textlink="">
      <xdr:nvSpPr>
        <xdr:cNvPr id="11" name="TextBox 10">
          <a:extLst>
            <a:ext uri="{FF2B5EF4-FFF2-40B4-BE49-F238E27FC236}">
              <a16:creationId xmlns:a16="http://schemas.microsoft.com/office/drawing/2014/main" id="{EE9C0731-888B-A8F9-B681-BD4765729A07}"/>
            </a:ext>
          </a:extLst>
        </xdr:cNvPr>
        <xdr:cNvSpPr txBox="1"/>
      </xdr:nvSpPr>
      <xdr:spPr>
        <a:xfrm>
          <a:off x="88900" y="6407150"/>
          <a:ext cx="3041650" cy="3238500"/>
        </a:xfrm>
        <a:prstGeom prst="rect">
          <a:avLst/>
        </a:prstGeom>
        <a:no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4</xdr:col>
      <xdr:colOff>484317</xdr:colOff>
      <xdr:row>32</xdr:row>
      <xdr:rowOff>142876</xdr:rowOff>
    </xdr:from>
    <xdr:to>
      <xdr:col>9</xdr:col>
      <xdr:colOff>473076</xdr:colOff>
      <xdr:row>49</xdr:row>
      <xdr:rowOff>168276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3000"/>
                  </a14:imgEffect>
                  <a14:imgEffect>
                    <a14:saturation sat="40000"/>
                  </a14:imgEffect>
                </a14:imgLayer>
              </a14:imgProps>
            </a:ext>
            <a:ext uri="{28A0092B-C50C-407E-A947-70E740481C1C}">
              <a14:useLocalDpi xmlns:a14="http://schemas.microsoft.com/office/drawing/2010/main" val="0"/>
            </a:ext>
          </a:extLst>
        </a:blip>
        <a:srcRect l="52282"/>
        <a:stretch/>
      </xdr:blipFill>
      <xdr:spPr>
        <a:xfrm>
          <a:off x="3233867" y="6378576"/>
          <a:ext cx="3332034" cy="3251200"/>
        </a:xfrm>
        <a:prstGeom prst="rect">
          <a:avLst/>
        </a:prstGeom>
      </xdr:spPr>
    </xdr:pic>
    <xdr:clientData/>
  </xdr:twoCellAnchor>
  <xdr:twoCellAnchor>
    <xdr:from>
      <xdr:col>12</xdr:col>
      <xdr:colOff>85726</xdr:colOff>
      <xdr:row>39</xdr:row>
      <xdr:rowOff>150811</xdr:rowOff>
    </xdr:from>
    <xdr:to>
      <xdr:col>16</xdr:col>
      <xdr:colOff>447676</xdr:colOff>
      <xdr:row>56</xdr:row>
      <xdr:rowOff>127000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333375</xdr:colOff>
      <xdr:row>44</xdr:row>
      <xdr:rowOff>82550</xdr:rowOff>
    </xdr:from>
    <xdr:to>
      <xdr:col>14</xdr:col>
      <xdr:colOff>504825</xdr:colOff>
      <xdr:row>46</xdr:row>
      <xdr:rowOff>92076</xdr:rowOff>
    </xdr:to>
    <xdr:cxnSp macro="">
      <xdr:nvCxnSpPr>
        <xdr:cNvPr id="4" name="Straight Arrow Connector 3">
          <a:extLst>
            <a:ext uri="{FF2B5EF4-FFF2-40B4-BE49-F238E27FC236}">
              <a16:creationId xmlns:a16="http://schemas.microsoft.com/office/drawing/2014/main" id="{00000000-0008-0000-0600-000004000000}"/>
            </a:ext>
          </a:extLst>
        </xdr:cNvPr>
        <xdr:cNvCxnSpPr/>
      </xdr:nvCxnSpPr>
      <xdr:spPr>
        <a:xfrm flipH="1">
          <a:off x="9477375" y="8591550"/>
          <a:ext cx="171450" cy="3905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368300</xdr:colOff>
      <xdr:row>43</xdr:row>
      <xdr:rowOff>101600</xdr:rowOff>
    </xdr:from>
    <xdr:ext cx="1121461" cy="295275"/>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9512300" y="8420100"/>
          <a:ext cx="1121461"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Cricondentherm</a:t>
          </a:r>
        </a:p>
        <a:p>
          <a:endParaRPr lang="en-US" sz="1100"/>
        </a:p>
      </xdr:txBody>
    </xdr:sp>
    <xdr:clientData/>
  </xdr:oneCellAnchor>
  <xdr:twoCellAnchor>
    <xdr:from>
      <xdr:col>0</xdr:col>
      <xdr:colOff>320675</xdr:colOff>
      <xdr:row>33</xdr:row>
      <xdr:rowOff>36512</xdr:rowOff>
    </xdr:from>
    <xdr:to>
      <xdr:col>4</xdr:col>
      <xdr:colOff>422275</xdr:colOff>
      <xdr:row>49</xdr:row>
      <xdr:rowOff>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190501</xdr:colOff>
      <xdr:row>38</xdr:row>
      <xdr:rowOff>22225</xdr:rowOff>
    </xdr:from>
    <xdr:to>
      <xdr:col>22</xdr:col>
      <xdr:colOff>41276</xdr:colOff>
      <xdr:row>54</xdr:row>
      <xdr:rowOff>157078</xdr:rowOff>
    </xdr:to>
    <xdr:pic>
      <xdr:nvPicPr>
        <xdr:cNvPr id="7" name="Picture 6">
          <a:extLst>
            <a:ext uri="{FF2B5EF4-FFF2-40B4-BE49-F238E27FC236}">
              <a16:creationId xmlns:a16="http://schemas.microsoft.com/office/drawing/2014/main" id="{7A6E8922-43F0-436A-BFF7-3F1D14BAFBB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3000"/>
                  </a14:imgEffect>
                  <a14:imgEffect>
                    <a14:saturation sat="40000"/>
                  </a14:imgEffect>
                </a14:imgLayer>
              </a14:imgProps>
            </a:ext>
            <a:ext uri="{28A0092B-C50C-407E-A947-70E740481C1C}">
              <a14:useLocalDpi xmlns:a14="http://schemas.microsoft.com/office/drawing/2010/main" val="0"/>
            </a:ext>
          </a:extLst>
        </a:blip>
        <a:srcRect r="48328"/>
        <a:stretch/>
      </xdr:blipFill>
      <xdr:spPr>
        <a:xfrm>
          <a:off x="11353801" y="7388225"/>
          <a:ext cx="2898775" cy="3182853"/>
        </a:xfrm>
        <a:prstGeom prst="rect">
          <a:avLst/>
        </a:prstGeom>
      </xdr:spPr>
    </xdr:pic>
    <xdr:clientData/>
  </xdr:twoCellAnchor>
  <xdr:oneCellAnchor>
    <xdr:from>
      <xdr:col>0</xdr:col>
      <xdr:colOff>86124</xdr:colOff>
      <xdr:row>38</xdr:row>
      <xdr:rowOff>164701</xdr:rowOff>
    </xdr:from>
    <xdr:ext cx="280205" cy="769954"/>
    <xdr:sp macro="" textlink="">
      <xdr:nvSpPr>
        <xdr:cNvPr id="9" name="TextBox 8">
          <a:extLst>
            <a:ext uri="{FF2B5EF4-FFF2-40B4-BE49-F238E27FC236}">
              <a16:creationId xmlns:a16="http://schemas.microsoft.com/office/drawing/2014/main" id="{A4670C2B-670B-D907-6532-EC057436FB7B}"/>
            </a:ext>
          </a:extLst>
        </xdr:cNvPr>
        <xdr:cNvSpPr txBox="1"/>
      </xdr:nvSpPr>
      <xdr:spPr>
        <a:xfrm rot="16200000">
          <a:off x="-158750" y="7813675"/>
          <a:ext cx="7699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C6+</a:t>
          </a:r>
          <a:r>
            <a:rPr lang="en-US" sz="1200" b="1" baseline="0"/>
            <a:t> GPM</a:t>
          </a:r>
          <a:endParaRPr lang="en-US" sz="1200" b="1"/>
        </a:p>
      </xdr:txBody>
    </xdr:sp>
    <xdr:clientData/>
  </xdr:oneCellAnchor>
  <xdr:oneCellAnchor>
    <xdr:from>
      <xdr:col>1</xdr:col>
      <xdr:colOff>434975</xdr:colOff>
      <xdr:row>33</xdr:row>
      <xdr:rowOff>34925</xdr:rowOff>
    </xdr:from>
    <xdr:ext cx="1374992" cy="280205"/>
    <xdr:sp macro="" textlink="">
      <xdr:nvSpPr>
        <xdr:cNvPr id="10" name="TextBox 9">
          <a:extLst>
            <a:ext uri="{FF2B5EF4-FFF2-40B4-BE49-F238E27FC236}">
              <a16:creationId xmlns:a16="http://schemas.microsoft.com/office/drawing/2014/main" id="{B60CE39A-35C4-F958-C9CA-988A123FDC91}"/>
            </a:ext>
          </a:extLst>
        </xdr:cNvPr>
        <xdr:cNvSpPr txBox="1"/>
      </xdr:nvSpPr>
      <xdr:spPr>
        <a:xfrm>
          <a:off x="1101725" y="6461125"/>
          <a:ext cx="137499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Regression</a:t>
          </a:r>
          <a:r>
            <a:rPr lang="en-US" sz="1200" b="1" baseline="0"/>
            <a:t> Results</a:t>
          </a:r>
          <a:endParaRPr lang="en-US" sz="1200" b="1"/>
        </a:p>
      </xdr:txBody>
    </xdr:sp>
    <xdr:clientData/>
  </xdr:oneCellAnchor>
  <xdr:twoCellAnchor>
    <xdr:from>
      <xdr:col>11</xdr:col>
      <xdr:colOff>425450</xdr:colOff>
      <xdr:row>15</xdr:row>
      <xdr:rowOff>69850</xdr:rowOff>
    </xdr:from>
    <xdr:to>
      <xdr:col>22</xdr:col>
      <xdr:colOff>107950</xdr:colOff>
      <xdr:row>37</xdr:row>
      <xdr:rowOff>57150</xdr:rowOff>
    </xdr:to>
    <xdr:sp macro="" textlink="">
      <xdr:nvSpPr>
        <xdr:cNvPr id="19" name="TextBox 18">
          <a:extLst>
            <a:ext uri="{FF2B5EF4-FFF2-40B4-BE49-F238E27FC236}">
              <a16:creationId xmlns:a16="http://schemas.microsoft.com/office/drawing/2014/main" id="{05FC851B-0F3C-B06C-6E9D-79D39D8BFE95}"/>
            </a:ext>
          </a:extLst>
        </xdr:cNvPr>
        <xdr:cNvSpPr txBox="1"/>
      </xdr:nvSpPr>
      <xdr:spPr>
        <a:xfrm>
          <a:off x="7740650" y="3003550"/>
          <a:ext cx="6578600" cy="42291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13</xdr:col>
      <xdr:colOff>441325</xdr:colOff>
      <xdr:row>53</xdr:row>
      <xdr:rowOff>44450</xdr:rowOff>
    </xdr:from>
    <xdr:ext cx="1167435" cy="280205"/>
    <xdr:sp macro="" textlink="">
      <xdr:nvSpPr>
        <xdr:cNvPr id="20" name="TextBox 19">
          <a:extLst>
            <a:ext uri="{FF2B5EF4-FFF2-40B4-BE49-F238E27FC236}">
              <a16:creationId xmlns:a16="http://schemas.microsoft.com/office/drawing/2014/main" id="{43679AF2-A782-4AE2-6048-512C3FFC2403}"/>
            </a:ext>
          </a:extLst>
        </xdr:cNvPr>
        <xdr:cNvSpPr txBox="1"/>
      </xdr:nvSpPr>
      <xdr:spPr>
        <a:xfrm>
          <a:off x="8975725" y="10267950"/>
          <a:ext cx="116743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Temperature,</a:t>
          </a:r>
          <a:r>
            <a:rPr lang="en-US" sz="1200" b="1" baseline="0"/>
            <a:t> F</a:t>
          </a:r>
          <a:endParaRPr lang="en-US" sz="1200" b="1"/>
        </a:p>
      </xdr:txBody>
    </xdr:sp>
    <xdr:clientData/>
  </xdr:oneCellAnchor>
  <xdr:oneCellAnchor>
    <xdr:from>
      <xdr:col>11</xdr:col>
      <xdr:colOff>448057</xdr:colOff>
      <xdr:row>43</xdr:row>
      <xdr:rowOff>148843</xdr:rowOff>
    </xdr:from>
    <xdr:ext cx="280205" cy="1068369"/>
    <xdr:sp macro="" textlink="">
      <xdr:nvSpPr>
        <xdr:cNvPr id="21" name="TextBox 20">
          <a:extLst>
            <a:ext uri="{FF2B5EF4-FFF2-40B4-BE49-F238E27FC236}">
              <a16:creationId xmlns:a16="http://schemas.microsoft.com/office/drawing/2014/main" id="{9327EA0D-808C-601B-BB51-78CE53FB0964}"/>
            </a:ext>
          </a:extLst>
        </xdr:cNvPr>
        <xdr:cNvSpPr txBox="1"/>
      </xdr:nvSpPr>
      <xdr:spPr>
        <a:xfrm rot="16200000">
          <a:off x="7369175" y="8861425"/>
          <a:ext cx="106836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Pressure, psia</a:t>
          </a:r>
        </a:p>
      </xdr:txBody>
    </xdr:sp>
    <xdr:clientData/>
  </xdr:oneCellAnchor>
  <xdr:twoCellAnchor>
    <xdr:from>
      <xdr:col>11</xdr:col>
      <xdr:colOff>425450</xdr:colOff>
      <xdr:row>38</xdr:row>
      <xdr:rowOff>63500</xdr:rowOff>
    </xdr:from>
    <xdr:to>
      <xdr:col>16</xdr:col>
      <xdr:colOff>571500</xdr:colOff>
      <xdr:row>54</xdr:row>
      <xdr:rowOff>133350</xdr:rowOff>
    </xdr:to>
    <xdr:sp macro="" textlink="">
      <xdr:nvSpPr>
        <xdr:cNvPr id="22" name="TextBox 21">
          <a:extLst>
            <a:ext uri="{FF2B5EF4-FFF2-40B4-BE49-F238E27FC236}">
              <a16:creationId xmlns:a16="http://schemas.microsoft.com/office/drawing/2014/main" id="{58546867-4BF6-4E03-E910-EE5ED31B2813}"/>
            </a:ext>
          </a:extLst>
        </xdr:cNvPr>
        <xdr:cNvSpPr txBox="1"/>
      </xdr:nvSpPr>
      <xdr:spPr>
        <a:xfrm>
          <a:off x="7740650" y="7429500"/>
          <a:ext cx="3384550" cy="3117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13</xdr:col>
      <xdr:colOff>307975</xdr:colOff>
      <xdr:row>38</xdr:row>
      <xdr:rowOff>79375</xdr:rowOff>
    </xdr:from>
    <xdr:ext cx="1374992" cy="280205"/>
    <xdr:sp macro="" textlink="">
      <xdr:nvSpPr>
        <xdr:cNvPr id="23" name="TextBox 22">
          <a:extLst>
            <a:ext uri="{FF2B5EF4-FFF2-40B4-BE49-F238E27FC236}">
              <a16:creationId xmlns:a16="http://schemas.microsoft.com/office/drawing/2014/main" id="{78172CF6-576A-4E2C-9BCF-4FDA44837303}"/>
            </a:ext>
          </a:extLst>
        </xdr:cNvPr>
        <xdr:cNvSpPr txBox="1"/>
      </xdr:nvSpPr>
      <xdr:spPr>
        <a:xfrm>
          <a:off x="8842375" y="7445375"/>
          <a:ext cx="137499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Regression</a:t>
          </a:r>
          <a:r>
            <a:rPr lang="en-US" sz="1200" b="1" baseline="0"/>
            <a:t> Results</a:t>
          </a:r>
          <a:endParaRPr lang="en-US" sz="1200" b="1"/>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11</xdr:col>
      <xdr:colOff>425450</xdr:colOff>
      <xdr:row>38</xdr:row>
      <xdr:rowOff>63500</xdr:rowOff>
    </xdr:from>
    <xdr:to>
      <xdr:col>16</xdr:col>
      <xdr:colOff>571500</xdr:colOff>
      <xdr:row>54</xdr:row>
      <xdr:rowOff>133350</xdr:rowOff>
    </xdr:to>
    <xdr:sp macro="" textlink="">
      <xdr:nvSpPr>
        <xdr:cNvPr id="15" name="TextBox 14">
          <a:extLst>
            <a:ext uri="{FF2B5EF4-FFF2-40B4-BE49-F238E27FC236}">
              <a16:creationId xmlns:a16="http://schemas.microsoft.com/office/drawing/2014/main" id="{B2968260-5B0F-45EB-B4B6-13318A560D34}"/>
            </a:ext>
          </a:extLst>
        </xdr:cNvPr>
        <xdr:cNvSpPr txBox="1"/>
      </xdr:nvSpPr>
      <xdr:spPr>
        <a:xfrm>
          <a:off x="7743825" y="7432675"/>
          <a:ext cx="3381375" cy="31146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44450</xdr:colOff>
      <xdr:row>15</xdr:row>
      <xdr:rowOff>88900</xdr:rowOff>
    </xdr:from>
    <xdr:to>
      <xdr:col>9</xdr:col>
      <xdr:colOff>457200</xdr:colOff>
      <xdr:row>32</xdr:row>
      <xdr:rowOff>76200</xdr:rowOff>
    </xdr:to>
    <xdr:sp macro="" textlink="">
      <xdr:nvSpPr>
        <xdr:cNvPr id="2" name="TextBox 1">
          <a:extLst>
            <a:ext uri="{FF2B5EF4-FFF2-40B4-BE49-F238E27FC236}">
              <a16:creationId xmlns:a16="http://schemas.microsoft.com/office/drawing/2014/main" id="{37ED90AB-04A0-45CB-AA91-726FFFB31249}"/>
            </a:ext>
          </a:extLst>
        </xdr:cNvPr>
        <xdr:cNvSpPr txBox="1"/>
      </xdr:nvSpPr>
      <xdr:spPr>
        <a:xfrm>
          <a:off x="47625" y="3025775"/>
          <a:ext cx="6505575" cy="32734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88900</xdr:colOff>
      <xdr:row>32</xdr:row>
      <xdr:rowOff>171450</xdr:rowOff>
    </xdr:from>
    <xdr:to>
      <xdr:col>4</xdr:col>
      <xdr:colOff>381000</xdr:colOff>
      <xdr:row>49</xdr:row>
      <xdr:rowOff>146050</xdr:rowOff>
    </xdr:to>
    <xdr:sp macro="" textlink="">
      <xdr:nvSpPr>
        <xdr:cNvPr id="3" name="TextBox 2">
          <a:extLst>
            <a:ext uri="{FF2B5EF4-FFF2-40B4-BE49-F238E27FC236}">
              <a16:creationId xmlns:a16="http://schemas.microsoft.com/office/drawing/2014/main" id="{83ADF4A1-D681-4344-8986-E220E366C0B8}"/>
            </a:ext>
          </a:extLst>
        </xdr:cNvPr>
        <xdr:cNvSpPr txBox="1"/>
      </xdr:nvSpPr>
      <xdr:spPr>
        <a:xfrm>
          <a:off x="92075" y="6394450"/>
          <a:ext cx="3038475" cy="3216275"/>
        </a:xfrm>
        <a:prstGeom prst="rect">
          <a:avLst/>
        </a:prstGeom>
        <a:no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12</xdr:col>
      <xdr:colOff>85726</xdr:colOff>
      <xdr:row>39</xdr:row>
      <xdr:rowOff>150811</xdr:rowOff>
    </xdr:from>
    <xdr:to>
      <xdr:col>16</xdr:col>
      <xdr:colOff>447676</xdr:colOff>
      <xdr:row>56</xdr:row>
      <xdr:rowOff>127000</xdr:rowOff>
    </xdr:to>
    <xdr:graphicFrame macro="">
      <xdr:nvGraphicFramePr>
        <xdr:cNvPr id="5" name="Chart 4">
          <a:extLst>
            <a:ext uri="{FF2B5EF4-FFF2-40B4-BE49-F238E27FC236}">
              <a16:creationId xmlns:a16="http://schemas.microsoft.com/office/drawing/2014/main" id="{364EA76C-2198-4796-96FB-A3E80D07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333375</xdr:colOff>
      <xdr:row>44</xdr:row>
      <xdr:rowOff>82550</xdr:rowOff>
    </xdr:from>
    <xdr:to>
      <xdr:col>14</xdr:col>
      <xdr:colOff>504825</xdr:colOff>
      <xdr:row>46</xdr:row>
      <xdr:rowOff>92076</xdr:rowOff>
    </xdr:to>
    <xdr:cxnSp macro="">
      <xdr:nvCxnSpPr>
        <xdr:cNvPr id="6" name="Straight Arrow Connector 5">
          <a:extLst>
            <a:ext uri="{FF2B5EF4-FFF2-40B4-BE49-F238E27FC236}">
              <a16:creationId xmlns:a16="http://schemas.microsoft.com/office/drawing/2014/main" id="{8AC7EB7D-0551-4DF3-98D9-6796E8CD08A4}"/>
            </a:ext>
          </a:extLst>
        </xdr:cNvPr>
        <xdr:cNvCxnSpPr/>
      </xdr:nvCxnSpPr>
      <xdr:spPr>
        <a:xfrm flipH="1">
          <a:off x="9480550" y="8594725"/>
          <a:ext cx="171450" cy="38735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368300</xdr:colOff>
      <xdr:row>43</xdr:row>
      <xdr:rowOff>101600</xdr:rowOff>
    </xdr:from>
    <xdr:ext cx="1121461" cy="295275"/>
    <xdr:sp macro="" textlink="">
      <xdr:nvSpPr>
        <xdr:cNvPr id="7" name="TextBox 6">
          <a:extLst>
            <a:ext uri="{FF2B5EF4-FFF2-40B4-BE49-F238E27FC236}">
              <a16:creationId xmlns:a16="http://schemas.microsoft.com/office/drawing/2014/main" id="{ADF9FBF6-52BE-4DB7-804C-DFDC8E7B71C6}"/>
            </a:ext>
          </a:extLst>
        </xdr:cNvPr>
        <xdr:cNvSpPr txBox="1"/>
      </xdr:nvSpPr>
      <xdr:spPr>
        <a:xfrm>
          <a:off x="9515475" y="8423275"/>
          <a:ext cx="1121461"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Cricondentherm</a:t>
          </a:r>
        </a:p>
        <a:p>
          <a:endParaRPr lang="en-US" sz="1100"/>
        </a:p>
      </xdr:txBody>
    </xdr:sp>
    <xdr:clientData/>
  </xdr:oneCellAnchor>
  <xdr:oneCellAnchor>
    <xdr:from>
      <xdr:col>0</xdr:col>
      <xdr:colOff>86124</xdr:colOff>
      <xdr:row>38</xdr:row>
      <xdr:rowOff>164701</xdr:rowOff>
    </xdr:from>
    <xdr:ext cx="280205" cy="769954"/>
    <xdr:sp macro="" textlink="">
      <xdr:nvSpPr>
        <xdr:cNvPr id="10" name="TextBox 9">
          <a:extLst>
            <a:ext uri="{FF2B5EF4-FFF2-40B4-BE49-F238E27FC236}">
              <a16:creationId xmlns:a16="http://schemas.microsoft.com/office/drawing/2014/main" id="{C9D65C56-4AC3-4936-B7F6-568F19B91325}"/>
            </a:ext>
          </a:extLst>
        </xdr:cNvPr>
        <xdr:cNvSpPr txBox="1"/>
      </xdr:nvSpPr>
      <xdr:spPr>
        <a:xfrm rot="16200000">
          <a:off x="-155575" y="7778750"/>
          <a:ext cx="7699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C6+</a:t>
          </a:r>
          <a:r>
            <a:rPr lang="en-US" sz="1200" b="1" baseline="0"/>
            <a:t> GPM</a:t>
          </a:r>
          <a:endParaRPr lang="en-US" sz="1200" b="1"/>
        </a:p>
      </xdr:txBody>
    </xdr:sp>
    <xdr:clientData/>
  </xdr:oneCellAnchor>
  <xdr:oneCellAnchor>
    <xdr:from>
      <xdr:col>1</xdr:col>
      <xdr:colOff>434975</xdr:colOff>
      <xdr:row>33</xdr:row>
      <xdr:rowOff>34925</xdr:rowOff>
    </xdr:from>
    <xdr:ext cx="1374992" cy="280205"/>
    <xdr:sp macro="" textlink="">
      <xdr:nvSpPr>
        <xdr:cNvPr id="11" name="TextBox 10">
          <a:extLst>
            <a:ext uri="{FF2B5EF4-FFF2-40B4-BE49-F238E27FC236}">
              <a16:creationId xmlns:a16="http://schemas.microsoft.com/office/drawing/2014/main" id="{7C3BE457-F0E3-45B7-8678-35D9FB557C29}"/>
            </a:ext>
          </a:extLst>
        </xdr:cNvPr>
        <xdr:cNvSpPr txBox="1"/>
      </xdr:nvSpPr>
      <xdr:spPr>
        <a:xfrm>
          <a:off x="1101725" y="6448425"/>
          <a:ext cx="137499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Regression</a:t>
          </a:r>
          <a:r>
            <a:rPr lang="en-US" sz="1200" b="1" baseline="0"/>
            <a:t> Results</a:t>
          </a:r>
          <a:endParaRPr lang="en-US" sz="1200" b="1"/>
        </a:p>
      </xdr:txBody>
    </xdr:sp>
    <xdr:clientData/>
  </xdr:oneCellAnchor>
  <xdr:twoCellAnchor>
    <xdr:from>
      <xdr:col>11</xdr:col>
      <xdr:colOff>425450</xdr:colOff>
      <xdr:row>15</xdr:row>
      <xdr:rowOff>69850</xdr:rowOff>
    </xdr:from>
    <xdr:to>
      <xdr:col>22</xdr:col>
      <xdr:colOff>107950</xdr:colOff>
      <xdr:row>37</xdr:row>
      <xdr:rowOff>57150</xdr:rowOff>
    </xdr:to>
    <xdr:sp macro="" textlink="">
      <xdr:nvSpPr>
        <xdr:cNvPr id="12" name="TextBox 11">
          <a:extLst>
            <a:ext uri="{FF2B5EF4-FFF2-40B4-BE49-F238E27FC236}">
              <a16:creationId xmlns:a16="http://schemas.microsoft.com/office/drawing/2014/main" id="{A8F45EE2-7355-4A0C-97B3-D052D10CB9C5}"/>
            </a:ext>
          </a:extLst>
        </xdr:cNvPr>
        <xdr:cNvSpPr txBox="1"/>
      </xdr:nvSpPr>
      <xdr:spPr>
        <a:xfrm>
          <a:off x="7743825" y="3006725"/>
          <a:ext cx="6578600" cy="42259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13</xdr:col>
      <xdr:colOff>441325</xdr:colOff>
      <xdr:row>53</xdr:row>
      <xdr:rowOff>44450</xdr:rowOff>
    </xdr:from>
    <xdr:ext cx="1167435" cy="280205"/>
    <xdr:sp macro="" textlink="">
      <xdr:nvSpPr>
        <xdr:cNvPr id="13" name="TextBox 12">
          <a:extLst>
            <a:ext uri="{FF2B5EF4-FFF2-40B4-BE49-F238E27FC236}">
              <a16:creationId xmlns:a16="http://schemas.microsoft.com/office/drawing/2014/main" id="{69557757-1BE7-4B9D-A9FE-0BE224B775A4}"/>
            </a:ext>
          </a:extLst>
        </xdr:cNvPr>
        <xdr:cNvSpPr txBox="1"/>
      </xdr:nvSpPr>
      <xdr:spPr>
        <a:xfrm>
          <a:off x="8975725" y="10271125"/>
          <a:ext cx="116743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Temperature,</a:t>
          </a:r>
          <a:r>
            <a:rPr lang="en-US" sz="1200" b="1" baseline="0"/>
            <a:t> F</a:t>
          </a:r>
          <a:endParaRPr lang="en-US" sz="1200" b="1"/>
        </a:p>
      </xdr:txBody>
    </xdr:sp>
    <xdr:clientData/>
  </xdr:oneCellAnchor>
  <xdr:oneCellAnchor>
    <xdr:from>
      <xdr:col>11</xdr:col>
      <xdr:colOff>448057</xdr:colOff>
      <xdr:row>43</xdr:row>
      <xdr:rowOff>148843</xdr:rowOff>
    </xdr:from>
    <xdr:ext cx="280205" cy="1068369"/>
    <xdr:sp macro="" textlink="">
      <xdr:nvSpPr>
        <xdr:cNvPr id="14" name="TextBox 13">
          <a:extLst>
            <a:ext uri="{FF2B5EF4-FFF2-40B4-BE49-F238E27FC236}">
              <a16:creationId xmlns:a16="http://schemas.microsoft.com/office/drawing/2014/main" id="{FA5D2CBC-49D3-4343-B0D3-A1BCBFA1171F}"/>
            </a:ext>
          </a:extLst>
        </xdr:cNvPr>
        <xdr:cNvSpPr txBox="1"/>
      </xdr:nvSpPr>
      <xdr:spPr>
        <a:xfrm rot="16200000">
          <a:off x="7372350" y="8861425"/>
          <a:ext cx="106836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Pressure, psia</a:t>
          </a:r>
        </a:p>
      </xdr:txBody>
    </xdr:sp>
    <xdr:clientData/>
  </xdr:oneCellAnchor>
  <xdr:oneCellAnchor>
    <xdr:from>
      <xdr:col>13</xdr:col>
      <xdr:colOff>307975</xdr:colOff>
      <xdr:row>38</xdr:row>
      <xdr:rowOff>79375</xdr:rowOff>
    </xdr:from>
    <xdr:ext cx="1374992" cy="280205"/>
    <xdr:sp macro="" textlink="">
      <xdr:nvSpPr>
        <xdr:cNvPr id="16" name="TextBox 15">
          <a:extLst>
            <a:ext uri="{FF2B5EF4-FFF2-40B4-BE49-F238E27FC236}">
              <a16:creationId xmlns:a16="http://schemas.microsoft.com/office/drawing/2014/main" id="{730E2D8D-C4BE-4AC2-A6E3-1EAFBED21F78}"/>
            </a:ext>
          </a:extLst>
        </xdr:cNvPr>
        <xdr:cNvSpPr txBox="1"/>
      </xdr:nvSpPr>
      <xdr:spPr>
        <a:xfrm>
          <a:off x="8842375" y="7445375"/>
          <a:ext cx="137499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Regression</a:t>
          </a:r>
          <a:r>
            <a:rPr lang="en-US" sz="1200" b="1" baseline="0"/>
            <a:t> Results</a:t>
          </a:r>
          <a:endParaRPr lang="en-US" sz="1200" b="1"/>
        </a:p>
      </xdr:txBody>
    </xdr:sp>
    <xdr:clientData/>
  </xdr:oneCellAnchor>
  <xdr:twoCellAnchor>
    <xdr:from>
      <xdr:col>0</xdr:col>
      <xdr:colOff>320675</xdr:colOff>
      <xdr:row>33</xdr:row>
      <xdr:rowOff>36512</xdr:rowOff>
    </xdr:from>
    <xdr:to>
      <xdr:col>4</xdr:col>
      <xdr:colOff>422275</xdr:colOff>
      <xdr:row>49</xdr:row>
      <xdr:rowOff>0</xdr:rowOff>
    </xdr:to>
    <xdr:graphicFrame macro="">
      <xdr:nvGraphicFramePr>
        <xdr:cNvPr id="8" name="Chart 7">
          <a:extLst>
            <a:ext uri="{FF2B5EF4-FFF2-40B4-BE49-F238E27FC236}">
              <a16:creationId xmlns:a16="http://schemas.microsoft.com/office/drawing/2014/main" id="{109CF55A-34C1-4B41-AF82-59AEED206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484317</xdr:colOff>
      <xdr:row>32</xdr:row>
      <xdr:rowOff>142876</xdr:rowOff>
    </xdr:from>
    <xdr:to>
      <xdr:col>9</xdr:col>
      <xdr:colOff>479426</xdr:colOff>
      <xdr:row>49</xdr:row>
      <xdr:rowOff>168276</xdr:rowOff>
    </xdr:to>
    <xdr:pic>
      <xdr:nvPicPr>
        <xdr:cNvPr id="4" name="Picture 3">
          <a:extLst>
            <a:ext uri="{FF2B5EF4-FFF2-40B4-BE49-F238E27FC236}">
              <a16:creationId xmlns:a16="http://schemas.microsoft.com/office/drawing/2014/main" id="{4EE94910-A474-431A-AB86-FDED1FBFF628}"/>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3000"/>
                  </a14:imgEffect>
                  <a14:imgEffect>
                    <a14:saturation sat="40000"/>
                  </a14:imgEffect>
                </a14:imgLayer>
              </a14:imgProps>
            </a:ext>
            <a:ext uri="{28A0092B-C50C-407E-A947-70E740481C1C}">
              <a14:useLocalDpi xmlns:a14="http://schemas.microsoft.com/office/drawing/2010/main" val="0"/>
            </a:ext>
          </a:extLst>
        </a:blip>
        <a:srcRect l="52282"/>
        <a:stretch/>
      </xdr:blipFill>
      <xdr:spPr>
        <a:xfrm>
          <a:off x="3237042" y="6369051"/>
          <a:ext cx="3332034" cy="3260725"/>
        </a:xfrm>
        <a:prstGeom prst="rect">
          <a:avLst/>
        </a:prstGeom>
      </xdr:spPr>
    </xdr:pic>
    <xdr:clientData/>
  </xdr:twoCellAnchor>
  <xdr:twoCellAnchor editAs="oneCell">
    <xdr:from>
      <xdr:col>17</xdr:col>
      <xdr:colOff>190501</xdr:colOff>
      <xdr:row>38</xdr:row>
      <xdr:rowOff>22225</xdr:rowOff>
    </xdr:from>
    <xdr:to>
      <xdr:col>22</xdr:col>
      <xdr:colOff>41276</xdr:colOff>
      <xdr:row>54</xdr:row>
      <xdr:rowOff>157078</xdr:rowOff>
    </xdr:to>
    <xdr:pic>
      <xdr:nvPicPr>
        <xdr:cNvPr id="9" name="Picture 8">
          <a:extLst>
            <a:ext uri="{FF2B5EF4-FFF2-40B4-BE49-F238E27FC236}">
              <a16:creationId xmlns:a16="http://schemas.microsoft.com/office/drawing/2014/main" id="{5CFEECF6-CA63-4C4D-BAB7-422FE456D19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3000"/>
                  </a14:imgEffect>
                  <a14:imgEffect>
                    <a14:saturation sat="40000"/>
                  </a14:imgEffect>
                </a14:imgLayer>
              </a14:imgProps>
            </a:ext>
            <a:ext uri="{28A0092B-C50C-407E-A947-70E740481C1C}">
              <a14:useLocalDpi xmlns:a14="http://schemas.microsoft.com/office/drawing/2010/main" val="0"/>
            </a:ext>
          </a:extLst>
        </a:blip>
        <a:srcRect r="48328"/>
        <a:stretch/>
      </xdr:blipFill>
      <xdr:spPr>
        <a:xfrm>
          <a:off x="11353801" y="7388225"/>
          <a:ext cx="2898775" cy="31828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ayne_z8780x5\Documents\Estimating%20Pressure%20Drop%20In%20Gas%20Pipelines%20v1.0.xlsx" TargetMode="External"/><Relationship Id="rId1" Type="http://schemas.openxmlformats.org/officeDocument/2006/relationships/externalLinkPath" Target="Estimating%20Pressure%20Drop%20In%20Gas%20Pipelines%20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wayne_z8780x5\Documents\Engineering%20Models%20final\Multicomponent%20Flash%20of%20Hydrocarbon%20Stream%20X2.xlsx" TargetMode="External"/><Relationship Id="rId1" Type="http://schemas.openxmlformats.org/officeDocument/2006/relationships/externalLinkPath" Target="Multicomponent%20Flash%20of%20Hydrocarbon%20Stream%20X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081525.xlsm" TargetMode="External"/><Relationship Id="rId1" Type="http://schemas.openxmlformats.org/officeDocument/2006/relationships/externalLinkPath" Target="https://d.docs.live.net/7b1c9cae9ad6cbab/Field%20Compression%20Model%20041125%2050%20to%20750%20psig%20Delaware%20081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Discussion"/>
      <sheetName val="Properties"/>
      <sheetName val="Compositions"/>
      <sheetName val="Pipe Schedule"/>
      <sheetName val="Imperial units"/>
    </sheetNames>
    <sheetDataSet>
      <sheetData sheetId="0"/>
      <sheetData sheetId="1"/>
      <sheetData sheetId="2">
        <row r="24">
          <cell r="K24">
            <v>0.99508441883533316</v>
          </cell>
          <cell r="O24">
            <v>0.76509230516108606</v>
          </cell>
        </row>
        <row r="34">
          <cell r="E34">
            <v>1.0618279569892475E-5</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lash"/>
    </sheetNames>
    <sheetDataSet>
      <sheetData sheetId="0">
        <row r="253">
          <cell r="D253" t="str">
            <v>PengRobinson</v>
          </cell>
          <cell r="E253" t="str">
            <v>Standing</v>
          </cell>
          <cell r="F253" t="str">
            <v>Wilson</v>
          </cell>
        </row>
        <row r="254">
          <cell r="C254">
            <v>1000</v>
          </cell>
          <cell r="D254">
            <v>0.96599999999999997</v>
          </cell>
          <cell r="E254">
            <v>0.96789999999999998</v>
          </cell>
          <cell r="F254">
            <v>0.86890000000000001</v>
          </cell>
        </row>
        <row r="255">
          <cell r="C255">
            <v>800</v>
          </cell>
          <cell r="D255">
            <v>0.97</v>
          </cell>
          <cell r="E255">
            <v>0.96950000000000003</v>
          </cell>
          <cell r="F255">
            <v>0.90649999999999997</v>
          </cell>
        </row>
        <row r="256">
          <cell r="C256">
            <v>600</v>
          </cell>
          <cell r="D256">
            <v>0.97899999999999998</v>
          </cell>
          <cell r="E256">
            <v>0.97719999999999996</v>
          </cell>
          <cell r="F256">
            <v>0.94079999999999997</v>
          </cell>
        </row>
        <row r="257">
          <cell r="C257">
            <v>400</v>
          </cell>
          <cell r="D257">
            <v>0.98899999999999999</v>
          </cell>
          <cell r="E257">
            <v>0.98929999999999996</v>
          </cell>
          <cell r="F257">
            <v>0.97140000000000004</v>
          </cell>
        </row>
        <row r="258">
          <cell r="C258">
            <v>200</v>
          </cell>
          <cell r="D258">
            <v>0.998</v>
          </cell>
          <cell r="E258">
            <v>1</v>
          </cell>
          <cell r="F258">
            <v>0.99509999999999998</v>
          </cell>
        </row>
        <row r="270">
          <cell r="D270" t="str">
            <v>PengRobinson</v>
          </cell>
          <cell r="E270" t="str">
            <v>Standing</v>
          </cell>
          <cell r="F270" t="str">
            <v>Wilson</v>
          </cell>
        </row>
        <row r="271">
          <cell r="C271">
            <v>1000</v>
          </cell>
          <cell r="D271">
            <v>1</v>
          </cell>
          <cell r="E271">
            <v>0.99929999999999997</v>
          </cell>
          <cell r="F271">
            <v>0.94140000000000001</v>
          </cell>
        </row>
        <row r="272">
          <cell r="C272">
            <v>800</v>
          </cell>
          <cell r="D272">
            <v>1</v>
          </cell>
          <cell r="E272">
            <v>0.99890000000000001</v>
          </cell>
          <cell r="F272">
            <v>0.96340000000000003</v>
          </cell>
        </row>
        <row r="273">
          <cell r="C273">
            <v>600</v>
          </cell>
          <cell r="D273">
            <v>1</v>
          </cell>
          <cell r="E273">
            <v>1</v>
          </cell>
          <cell r="F273">
            <v>0.98199999999999998</v>
          </cell>
        </row>
        <row r="274">
          <cell r="C274">
            <v>400</v>
          </cell>
          <cell r="D274">
            <v>1</v>
          </cell>
          <cell r="E274">
            <v>1</v>
          </cell>
          <cell r="F274">
            <v>0.99570000000000003</v>
          </cell>
        </row>
        <row r="275">
          <cell r="C275">
            <v>200</v>
          </cell>
          <cell r="D275">
            <v>1</v>
          </cell>
          <cell r="E275">
            <v>1</v>
          </cell>
          <cell r="F275">
            <v>0.99970000000000003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D 1"/>
      <sheetName val="HDP 2"/>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sheetData sheetId="5"/>
      <sheetData sheetId="6">
        <row r="25">
          <cell r="F25">
            <v>0.99991982721071726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 dockstate="right" visibility="0" width="350" row="3">
    <wetp:webextensionref xmlns:r="http://schemas.openxmlformats.org/officeDocument/2006/relationships" r:id="rId2"/>
  </wetp:taskpane>
</wetp:taskpanes>
</file>

<file path=xl/webextensions/webextension1.xml><?xml version="1.0" encoding="utf-8"?>
<we:webextension xmlns:we="http://schemas.microsoft.com/office/webextensions/webextension/2010/11" id="{A71BBD44-525B-4B7B-AAA5-1B2F57F7C36B}">
  <we:reference id="wa104379190" version="2.0.0.0" store="en-US" storeType="OMEX"/>
  <we:alternateReferences>
    <we:reference id="WA104379190" version="2.0.0.0" store="WA104379190" storeType="OMEX"/>
  </we:alternateReferences>
  <we:properties/>
  <we:bindings>
    <we:binding id="RangeSelect" type="matrix" appref="{9E21E0C5-F2C0-4CCF-B6F1-6748D01215BD}"/>
    <we:binding id="InputY" type="matrix" appref="{503F7F1D-CE5A-4343-A660-42110556446F}"/>
    <we:binding id="InputX" type="matrix" appref="{C44F9489-07D5-446C-BE87-C54205B2402B}"/>
  </we:bindings>
  <we:snapshot xmlns:r="http://schemas.openxmlformats.org/officeDocument/2006/relationships"/>
</we:webextension>
</file>

<file path=xl/webextensions/webextension2.xml><?xml version="1.0" encoding="utf-8"?>
<we:webextension xmlns:we="http://schemas.microsoft.com/office/webextensions/webextension/2010/11" id="{1AB63729-EB0E-4CAA-9270-A5ACE7617955}">
  <we:reference id="wa104100404" version="2.0.0.0" store="en-US" storeType="OMEX"/>
  <we:alternateReferences>
    <we:reference id="WA104100404" version="2.0.0.0" store="" storeType="OMEX"/>
  </we:alternateReferences>
  <we:properties>
    <we:property name="UniqueID" value="&quot;20251211740163914807&quot;"/>
    <we:property name="LSQe" value="&quot;&quot;"/>
    <we:property name="KjZUKSsQTQc1KSlJFQYNNwso" value="&quot;UA==&quot;"/>
    <we:property name="KjZUKSsQTQc1KSlJFwUf" value="&quot;&quot;"/>
  </we:properties>
  <we:bindings>
    <we:binding id="refEdit" type="matrix" appref="{43537940-01CC-4E7E-A980-99F4BA06ABFE}"/>
    <we:binding id="Worker" type="matrix" appref="{DACBD016-C32B-4672-976B-AFD28744FB3E}"/>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hyperlink" Target="mailto:waynelandon13@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ciencedirect.com/topics/engineering/standing-correlation" TargetMode="External"/><Relationship Id="rId1" Type="http://schemas.openxmlformats.org/officeDocument/2006/relationships/hyperlink" Target="http://excelcalculations.blogspot.com/2011/07/equilibrium-flash-excel.html"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iencedirect.com/topics/engineering/standing-correlation" TargetMode="External"/><Relationship Id="rId1" Type="http://schemas.openxmlformats.org/officeDocument/2006/relationships/hyperlink" Target="http://excelcalculations.blogspot.com/2011/07/equilibrium-flash-excel.html" TargetMode="Externa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0F45-2F58-485A-8A60-82F685539004}">
  <sheetPr codeName="Sheet10"/>
  <dimension ref="B2:G38"/>
  <sheetViews>
    <sheetView topLeftCell="A21" zoomScale="136" zoomScaleNormal="136" workbookViewId="0">
      <selection activeCell="B39" sqref="B39"/>
    </sheetView>
  </sheetViews>
  <sheetFormatPr defaultRowHeight="15"/>
  <cols>
    <col min="1" max="1" width="4.5703125" style="1" customWidth="1"/>
    <col min="2" max="16384" width="9.140625" style="1"/>
  </cols>
  <sheetData>
    <row r="2" spans="2:7" ht="18.75">
      <c r="B2" s="138" t="s">
        <v>458</v>
      </c>
    </row>
    <row r="3" spans="2:7">
      <c r="B3" s="285" t="s">
        <v>612</v>
      </c>
    </row>
    <row r="4" spans="2:7">
      <c r="B4" s="285"/>
    </row>
    <row r="5" spans="2:7">
      <c r="B5" s="1" t="s">
        <v>459</v>
      </c>
    </row>
    <row r="7" spans="2:7">
      <c r="B7" s="286" t="s">
        <v>328</v>
      </c>
      <c r="C7" s="1" t="s">
        <v>460</v>
      </c>
    </row>
    <row r="9" spans="2:7">
      <c r="B9" s="1" t="s">
        <v>702</v>
      </c>
    </row>
    <row r="10" spans="2:7">
      <c r="B10" s="1" t="s">
        <v>461</v>
      </c>
    </row>
    <row r="12" spans="2:7">
      <c r="B12" s="1" t="s">
        <v>464</v>
      </c>
      <c r="F12" s="1">
        <v>100</v>
      </c>
      <c r="G12" s="1" t="s">
        <v>57</v>
      </c>
    </row>
    <row r="13" spans="2:7">
      <c r="B13" s="1" t="s">
        <v>463</v>
      </c>
      <c r="F13" s="1">
        <v>105</v>
      </c>
      <c r="G13" s="1" t="s">
        <v>58</v>
      </c>
    </row>
    <row r="14" spans="2:7">
      <c r="B14" s="1" t="s">
        <v>462</v>
      </c>
      <c r="F14" s="1">
        <v>800</v>
      </c>
      <c r="G14" s="1" t="s">
        <v>57</v>
      </c>
    </row>
    <row r="16" spans="2:7">
      <c r="B16" s="1" t="s">
        <v>703</v>
      </c>
    </row>
    <row r="17" spans="2:2">
      <c r="B17" s="1" t="s">
        <v>471</v>
      </c>
    </row>
    <row r="18" spans="2:2">
      <c r="B18" s="1" t="s">
        <v>611</v>
      </c>
    </row>
    <row r="19" spans="2:2">
      <c r="B19" s="1" t="s">
        <v>704</v>
      </c>
    </row>
    <row r="20" spans="2:2">
      <c r="B20" s="1" t="s">
        <v>705</v>
      </c>
    </row>
    <row r="21" spans="2:2">
      <c r="B21" s="1" t="s">
        <v>706</v>
      </c>
    </row>
    <row r="23" spans="2:2">
      <c r="B23" s="1" t="s">
        <v>708</v>
      </c>
    </row>
    <row r="24" spans="2:2">
      <c r="B24" s="1" t="s">
        <v>707</v>
      </c>
    </row>
    <row r="25" spans="2:2">
      <c r="B25" s="147" t="s">
        <v>712</v>
      </c>
    </row>
    <row r="26" spans="2:2">
      <c r="B26" s="1" t="s">
        <v>713</v>
      </c>
    </row>
    <row r="27" spans="2:2">
      <c r="B27" s="1" t="s">
        <v>714</v>
      </c>
    </row>
    <row r="29" spans="2:2">
      <c r="B29" s="1" t="s">
        <v>709</v>
      </c>
    </row>
    <row r="30" spans="2:2">
      <c r="B30" s="1" t="s">
        <v>707</v>
      </c>
    </row>
    <row r="31" spans="2:2">
      <c r="B31" s="147" t="s">
        <v>712</v>
      </c>
    </row>
    <row r="32" spans="2:2">
      <c r="B32" s="1" t="s">
        <v>713</v>
      </c>
    </row>
    <row r="34" spans="2:2">
      <c r="B34" s="1" t="s">
        <v>715</v>
      </c>
    </row>
    <row r="35" spans="2:2">
      <c r="B35" s="1" t="s">
        <v>710</v>
      </c>
    </row>
    <row r="37" spans="2:2">
      <c r="B37" s="1" t="s">
        <v>711</v>
      </c>
    </row>
    <row r="38" spans="2:2">
      <c r="B38" s="1" t="s">
        <v>720</v>
      </c>
    </row>
  </sheetData>
  <hyperlinks>
    <hyperlink ref="B3" r:id="rId1" xr:uid="{6EA12F31-7A22-473C-A5D2-4193EA1F53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2" tint="-9.9978637043366805E-2"/>
  </sheetPr>
  <dimension ref="A1:T96"/>
  <sheetViews>
    <sheetView workbookViewId="0"/>
  </sheetViews>
  <sheetFormatPr defaultRowHeight="15"/>
  <cols>
    <col min="1" max="1" width="10" customWidth="1"/>
    <col min="3" max="3" width="11" bestFit="1" customWidth="1"/>
    <col min="4" max="4" width="11" customWidth="1"/>
    <col min="6" max="6" width="12" bestFit="1" customWidth="1"/>
    <col min="7" max="7" width="10.7109375" customWidth="1"/>
    <col min="15" max="15" width="12" bestFit="1" customWidth="1"/>
  </cols>
  <sheetData>
    <row r="1" spans="5:13" ht="21">
      <c r="E1" s="101" t="s">
        <v>105</v>
      </c>
    </row>
    <row r="2" spans="5:13">
      <c r="E2" t="s">
        <v>106</v>
      </c>
    </row>
    <row r="4" spans="5:13">
      <c r="F4" t="s">
        <v>107</v>
      </c>
      <c r="G4" s="32" t="s">
        <v>108</v>
      </c>
      <c r="H4" s="32" t="s">
        <v>109</v>
      </c>
    </row>
    <row r="5" spans="5:13">
      <c r="G5" s="236">
        <f>'Prop Est Flash 1'!U17+'Prop Est Flash 1'!U18</f>
        <v>0.24592079457029245</v>
      </c>
      <c r="H5" s="236">
        <f>'Prop Est Flash 1'!U19+'Prop Est Flash 1'!U20+'Prop Est Flash 1'!U21+'Prop Est Flash 1'!U22+'Prop Est Flash 1'!U23+'Prop Est Flash 1'!U24</f>
        <v>0.14563268927494533</v>
      </c>
      <c r="J5" t="s">
        <v>272</v>
      </c>
    </row>
    <row r="7" spans="5:13">
      <c r="F7" t="s">
        <v>110</v>
      </c>
      <c r="G7" t="s">
        <v>111</v>
      </c>
    </row>
    <row r="9" spans="5:13">
      <c r="F9" s="32" t="s">
        <v>50</v>
      </c>
      <c r="G9" s="32" t="s">
        <v>112</v>
      </c>
      <c r="H9" s="32" t="s">
        <v>113</v>
      </c>
      <c r="I9" s="32" t="s">
        <v>114</v>
      </c>
    </row>
    <row r="10" spans="5:13">
      <c r="E10" t="s">
        <v>115</v>
      </c>
      <c r="F10" s="32">
        <f>G10*($G$5)^H10*($H$5)^I10</f>
        <v>0.10198909818066126</v>
      </c>
      <c r="G10" s="32">
        <v>0.64559999999999995</v>
      </c>
      <c r="H10" s="32">
        <v>0.22</v>
      </c>
      <c r="I10" s="32">
        <v>0.79759999999999998</v>
      </c>
    </row>
    <row r="11" spans="5:13">
      <c r="E11" t="s">
        <v>116</v>
      </c>
      <c r="F11" s="32">
        <f t="shared" ref="F11:F13" si="0">G11*($G$5)^H11*($H$5)^I11</f>
        <v>5.5779452147017378E-2</v>
      </c>
      <c r="G11" s="32">
        <v>0.50439999999999996</v>
      </c>
      <c r="H11" s="32">
        <v>-0.26729999999999998</v>
      </c>
      <c r="I11" s="32">
        <v>1.3374999999999999</v>
      </c>
    </row>
    <row r="12" spans="5:13">
      <c r="E12" t="s">
        <v>117</v>
      </c>
      <c r="F12" s="32">
        <f t="shared" si="0"/>
        <v>5.6771175614285319E-3</v>
      </c>
      <c r="G12" s="32">
        <v>7.0139999999999994E-2</v>
      </c>
      <c r="H12" s="32">
        <v>-1.0097</v>
      </c>
      <c r="I12" s="32">
        <v>2.04</v>
      </c>
    </row>
    <row r="13" spans="5:13">
      <c r="E13" t="s">
        <v>118</v>
      </c>
      <c r="F13" s="32">
        <f t="shared" si="0"/>
        <v>4.7758269250050648E-4</v>
      </c>
      <c r="G13" s="32">
        <v>6.149E-3</v>
      </c>
      <c r="H13" s="32">
        <v>-1.5176000000000001</v>
      </c>
      <c r="I13" s="32">
        <v>2.4312</v>
      </c>
    </row>
    <row r="14" spans="5:13">
      <c r="E14" t="s">
        <v>119</v>
      </c>
      <c r="F14" s="32">
        <f>SUM(F10:F13)</f>
        <v>0.16392325058160767</v>
      </c>
    </row>
    <row r="15" spans="5:13">
      <c r="E15" t="s">
        <v>122</v>
      </c>
      <c r="F15" s="32">
        <f>IF(F14&lt;0.2,(H27+F14*H28+F14^2*H29+F14^3*H30),125)</f>
        <v>74.044235987713876</v>
      </c>
      <c r="G15" t="s">
        <v>273</v>
      </c>
    </row>
    <row r="16" spans="5:13">
      <c r="L16" s="32"/>
      <c r="M16" s="32"/>
    </row>
    <row r="17" spans="1:20">
      <c r="A17" s="32" t="s">
        <v>173</v>
      </c>
      <c r="B17" s="32" t="s">
        <v>174</v>
      </c>
      <c r="C17" s="32" t="s">
        <v>175</v>
      </c>
      <c r="D17" s="32" t="s">
        <v>177</v>
      </c>
      <c r="E17" t="s">
        <v>176</v>
      </c>
      <c r="G17" t="s">
        <v>149</v>
      </c>
      <c r="M17" t="s">
        <v>173</v>
      </c>
      <c r="N17" t="s">
        <v>242</v>
      </c>
      <c r="O17" t="s">
        <v>175</v>
      </c>
      <c r="P17" t="s">
        <v>177</v>
      </c>
      <c r="Q17" t="s">
        <v>278</v>
      </c>
      <c r="S17" t="s">
        <v>149</v>
      </c>
    </row>
    <row r="18" spans="1:20" ht="15.75" thickBot="1">
      <c r="A18" s="32" t="s">
        <v>122</v>
      </c>
      <c r="B18" s="32" t="s">
        <v>119</v>
      </c>
      <c r="M18" s="32" t="s">
        <v>120</v>
      </c>
      <c r="N18" s="32" t="s">
        <v>121</v>
      </c>
    </row>
    <row r="19" spans="1:20">
      <c r="A19" s="32">
        <v>-50</v>
      </c>
      <c r="B19" s="32">
        <v>1E-4</v>
      </c>
      <c r="C19">
        <f>B19^2</f>
        <v>1E-8</v>
      </c>
      <c r="D19">
        <f>B19^3</f>
        <v>9.9999999999999998E-13</v>
      </c>
      <c r="E19" s="46">
        <f t="shared" ref="E19:E32" si="1">$H$27+B19*$H$28+C19*$H$29+D19*$H$30</f>
        <v>-45.262659667317067</v>
      </c>
      <c r="G19" s="45" t="s">
        <v>150</v>
      </c>
      <c r="H19" s="45"/>
      <c r="M19" s="32">
        <v>10</v>
      </c>
      <c r="N19" s="32">
        <v>100</v>
      </c>
      <c r="O19">
        <f>N19^2</f>
        <v>10000</v>
      </c>
      <c r="P19">
        <f>N19^3</f>
        <v>1000000</v>
      </c>
      <c r="Q19">
        <f t="shared" ref="Q19:Q37" si="2">$T$27+$T$28*N19+$T$29*O19+$T$30*P19</f>
        <v>10.430627728495171</v>
      </c>
      <c r="S19" s="45" t="s">
        <v>150</v>
      </c>
      <c r="T19" s="45"/>
    </row>
    <row r="20" spans="1:20">
      <c r="A20" s="32">
        <v>-40</v>
      </c>
      <c r="B20" s="32">
        <v>3.0000000000000001E-3</v>
      </c>
      <c r="C20">
        <f t="shared" ref="C20:C32" si="3">B20^2</f>
        <v>9.0000000000000002E-6</v>
      </c>
      <c r="D20">
        <f t="shared" ref="D20:D32" si="4">B20^3</f>
        <v>2.7E-8</v>
      </c>
      <c r="E20" s="46">
        <f t="shared" si="1"/>
        <v>-38.302898649656477</v>
      </c>
      <c r="G20" t="s">
        <v>151</v>
      </c>
      <c r="H20">
        <v>0.99770041097431517</v>
      </c>
      <c r="M20" s="32">
        <v>12</v>
      </c>
      <c r="N20" s="32">
        <v>110</v>
      </c>
      <c r="O20">
        <f t="shared" ref="O20:O37" si="5">N20^2</f>
        <v>12100</v>
      </c>
      <c r="P20">
        <f t="shared" ref="P20:P37" si="6">N20^3</f>
        <v>1331000</v>
      </c>
      <c r="Q20">
        <f t="shared" si="2"/>
        <v>11.608109896696909</v>
      </c>
      <c r="S20" t="s">
        <v>151</v>
      </c>
      <c r="T20">
        <v>0.99651257673949667</v>
      </c>
    </row>
    <row r="21" spans="1:20">
      <c r="A21" s="32">
        <v>-40</v>
      </c>
      <c r="B21" s="32">
        <v>3.0000000000000001E-3</v>
      </c>
      <c r="C21">
        <f t="shared" si="3"/>
        <v>9.0000000000000002E-6</v>
      </c>
      <c r="D21">
        <f t="shared" si="4"/>
        <v>2.7E-8</v>
      </c>
      <c r="E21" s="46">
        <f t="shared" si="1"/>
        <v>-38.302898649656477</v>
      </c>
      <c r="G21" t="s">
        <v>152</v>
      </c>
      <c r="H21">
        <v>0.99540611005831747</v>
      </c>
      <c r="M21" s="32">
        <v>15</v>
      </c>
      <c r="N21" s="32">
        <v>140</v>
      </c>
      <c r="O21">
        <f t="shared" si="5"/>
        <v>19600</v>
      </c>
      <c r="P21">
        <f t="shared" si="6"/>
        <v>2744000</v>
      </c>
      <c r="Q21">
        <f t="shared" si="2"/>
        <v>14.865811758002687</v>
      </c>
      <c r="S21" t="s">
        <v>152</v>
      </c>
      <c r="T21">
        <v>0.99303731559999131</v>
      </c>
    </row>
    <row r="22" spans="1:20">
      <c r="A22" s="32">
        <v>-30</v>
      </c>
      <c r="B22" s="32">
        <v>5.0000000000000001E-3</v>
      </c>
      <c r="C22">
        <f t="shared" si="3"/>
        <v>2.5000000000000001E-5</v>
      </c>
      <c r="D22">
        <f t="shared" si="4"/>
        <v>1.2500000000000002E-7</v>
      </c>
      <c r="E22" s="46">
        <f t="shared" si="1"/>
        <v>-33.70832126861761</v>
      </c>
      <c r="G22" t="s">
        <v>153</v>
      </c>
      <c r="H22">
        <v>0.99402794307581266</v>
      </c>
      <c r="M22" s="32">
        <v>18</v>
      </c>
      <c r="N22" s="32">
        <v>180</v>
      </c>
      <c r="O22">
        <f t="shared" si="5"/>
        <v>32400</v>
      </c>
      <c r="P22">
        <f t="shared" si="6"/>
        <v>5832000</v>
      </c>
      <c r="Q22">
        <f t="shared" si="2"/>
        <v>18.592747626806993</v>
      </c>
      <c r="S22" t="s">
        <v>153</v>
      </c>
      <c r="T22">
        <v>0.99164477871998946</v>
      </c>
    </row>
    <row r="23" spans="1:20">
      <c r="A23" s="32">
        <v>-20</v>
      </c>
      <c r="B23" s="32">
        <v>0.01</v>
      </c>
      <c r="C23">
        <f t="shared" si="3"/>
        <v>1E-4</v>
      </c>
      <c r="D23">
        <f t="shared" si="4"/>
        <v>1.0000000000000002E-6</v>
      </c>
      <c r="E23" s="46">
        <f t="shared" si="1"/>
        <v>-22.931924449707498</v>
      </c>
      <c r="G23" t="s">
        <v>154</v>
      </c>
      <c r="H23">
        <v>3.0703938558960342</v>
      </c>
      <c r="M23" s="32">
        <v>20</v>
      </c>
      <c r="N23" s="32">
        <v>200</v>
      </c>
      <c r="O23">
        <f t="shared" si="5"/>
        <v>40000</v>
      </c>
      <c r="P23">
        <f t="shared" si="6"/>
        <v>8000000</v>
      </c>
      <c r="Q23">
        <f t="shared" si="2"/>
        <v>20.203696190996478</v>
      </c>
      <c r="S23" t="s">
        <v>154</v>
      </c>
      <c r="T23">
        <v>0.57630323665945693</v>
      </c>
    </row>
    <row r="24" spans="1:20" ht="15.75" thickBot="1">
      <c r="A24" s="32">
        <v>-10</v>
      </c>
      <c r="B24" s="32">
        <v>1.6E-2</v>
      </c>
      <c r="C24">
        <f t="shared" si="3"/>
        <v>2.5599999999999999E-4</v>
      </c>
      <c r="D24">
        <f t="shared" si="4"/>
        <v>4.0960000000000003E-6</v>
      </c>
      <c r="E24" s="46">
        <f t="shared" si="1"/>
        <v>-11.28219899422032</v>
      </c>
      <c r="G24" s="43" t="s">
        <v>155</v>
      </c>
      <c r="H24" s="43">
        <v>14</v>
      </c>
      <c r="M24" s="32">
        <v>22</v>
      </c>
      <c r="N24" s="32">
        <v>225</v>
      </c>
      <c r="O24">
        <f t="shared" si="5"/>
        <v>50625</v>
      </c>
      <c r="P24">
        <f t="shared" si="6"/>
        <v>11390625</v>
      </c>
      <c r="Q24">
        <f t="shared" si="2"/>
        <v>21.991063083418375</v>
      </c>
      <c r="S24" s="43" t="s">
        <v>155</v>
      </c>
      <c r="T24" s="43">
        <v>19</v>
      </c>
    </row>
    <row r="25" spans="1:20" ht="15.75" thickBot="1">
      <c r="A25" s="32">
        <v>0</v>
      </c>
      <c r="B25" s="32">
        <v>0.02</v>
      </c>
      <c r="C25">
        <f t="shared" si="3"/>
        <v>4.0000000000000002E-4</v>
      </c>
      <c r="D25">
        <f t="shared" si="4"/>
        <v>8.0000000000000013E-6</v>
      </c>
      <c r="E25" s="46">
        <f t="shared" si="1"/>
        <v>-4.2527990006663039</v>
      </c>
      <c r="M25" s="32">
        <v>26</v>
      </c>
      <c r="N25" s="32">
        <v>280</v>
      </c>
      <c r="O25">
        <f t="shared" si="5"/>
        <v>78400</v>
      </c>
      <c r="P25">
        <f t="shared" si="6"/>
        <v>21952000</v>
      </c>
      <c r="Q25">
        <f t="shared" si="2"/>
        <v>25.086049086812984</v>
      </c>
    </row>
    <row r="26" spans="1:20">
      <c r="A26" s="32">
        <v>10</v>
      </c>
      <c r="B26" s="32">
        <v>0.03</v>
      </c>
      <c r="C26">
        <f t="shared" si="3"/>
        <v>8.9999999999999998E-4</v>
      </c>
      <c r="D26">
        <f t="shared" si="4"/>
        <v>2.6999999999999999E-5</v>
      </c>
      <c r="E26" s="46">
        <f t="shared" si="1"/>
        <v>10.926903790271465</v>
      </c>
      <c r="G26" s="44"/>
      <c r="H26" s="44" t="s">
        <v>164</v>
      </c>
      <c r="M26" s="32">
        <v>27.5</v>
      </c>
      <c r="N26" s="32">
        <v>330</v>
      </c>
      <c r="O26">
        <f t="shared" si="5"/>
        <v>108900</v>
      </c>
      <c r="P26">
        <f t="shared" si="6"/>
        <v>35937000</v>
      </c>
      <c r="Q26">
        <f t="shared" si="2"/>
        <v>26.975072272598101</v>
      </c>
      <c r="S26" s="44"/>
      <c r="T26" s="44" t="s">
        <v>164</v>
      </c>
    </row>
    <row r="27" spans="1:20">
      <c r="A27" s="32">
        <v>20</v>
      </c>
      <c r="B27" s="32">
        <v>3.6999999999999998E-2</v>
      </c>
      <c r="C27">
        <f t="shared" si="3"/>
        <v>1.3689999999999998E-3</v>
      </c>
      <c r="D27">
        <f t="shared" si="4"/>
        <v>5.0652999999999991E-5</v>
      </c>
      <c r="E27" s="46">
        <f t="shared" si="1"/>
        <v>19.683969166404992</v>
      </c>
      <c r="G27" t="s">
        <v>159</v>
      </c>
      <c r="H27">
        <v>-45.509034469174452</v>
      </c>
      <c r="M27" s="32">
        <v>28.2</v>
      </c>
      <c r="N27" s="32">
        <v>390</v>
      </c>
      <c r="O27">
        <f t="shared" si="5"/>
        <v>152100</v>
      </c>
      <c r="P27">
        <f t="shared" si="6"/>
        <v>59319000</v>
      </c>
      <c r="Q27">
        <f t="shared" si="2"/>
        <v>28.198188976718011</v>
      </c>
      <c r="S27" t="s">
        <v>159</v>
      </c>
      <c r="T27">
        <v>-4.0304655394220319</v>
      </c>
    </row>
    <row r="28" spans="1:20">
      <c r="A28" s="32">
        <v>30</v>
      </c>
      <c r="B28" s="32">
        <v>0.05</v>
      </c>
      <c r="C28">
        <f t="shared" si="3"/>
        <v>2.5000000000000005E-3</v>
      </c>
      <c r="D28">
        <f t="shared" si="4"/>
        <v>1.2500000000000003E-4</v>
      </c>
      <c r="E28" s="46">
        <f t="shared" si="1"/>
        <v>32.382289047126143</v>
      </c>
      <c r="G28" t="s">
        <v>171</v>
      </c>
      <c r="H28">
        <v>2465.8956275453947</v>
      </c>
      <c r="M28" s="32">
        <v>28.5</v>
      </c>
      <c r="N28" s="32">
        <v>440</v>
      </c>
      <c r="O28">
        <f t="shared" si="5"/>
        <v>193600</v>
      </c>
      <c r="P28">
        <f t="shared" si="6"/>
        <v>85184000</v>
      </c>
      <c r="Q28">
        <f t="shared" si="2"/>
        <v>28.443567358173684</v>
      </c>
      <c r="S28" t="s">
        <v>171</v>
      </c>
      <c r="T28">
        <v>0.17023000504809138</v>
      </c>
    </row>
    <row r="29" spans="1:20">
      <c r="A29" s="32">
        <v>40</v>
      </c>
      <c r="B29" s="32">
        <v>6.5000000000000002E-2</v>
      </c>
      <c r="C29">
        <f t="shared" si="3"/>
        <v>4.2250000000000005E-3</v>
      </c>
      <c r="D29">
        <f t="shared" si="4"/>
        <v>2.7462500000000002E-4</v>
      </c>
      <c r="E29" s="46">
        <f t="shared" si="1"/>
        <v>42.252147735143112</v>
      </c>
      <c r="G29" t="s">
        <v>172</v>
      </c>
      <c r="H29">
        <v>-21482.732413740523</v>
      </c>
      <c r="M29" s="32">
        <v>27.5</v>
      </c>
      <c r="N29" s="32">
        <v>500</v>
      </c>
      <c r="O29">
        <f t="shared" si="5"/>
        <v>250000</v>
      </c>
      <c r="P29">
        <f t="shared" si="6"/>
        <v>125000000</v>
      </c>
      <c r="Q29">
        <f t="shared" si="2"/>
        <v>27.931597771524629</v>
      </c>
      <c r="S29" t="s">
        <v>172</v>
      </c>
      <c r="T29">
        <v>-2.6708546539839297E-4</v>
      </c>
    </row>
    <row r="30" spans="1:20" ht="15.75" thickBot="1">
      <c r="A30" s="32">
        <v>50</v>
      </c>
      <c r="B30" s="32">
        <v>0.09</v>
      </c>
      <c r="C30">
        <f t="shared" si="3"/>
        <v>8.0999999999999996E-3</v>
      </c>
      <c r="D30">
        <f t="shared" si="4"/>
        <v>7.2899999999999994E-4</v>
      </c>
      <c r="E30" s="46">
        <f t="shared" si="1"/>
        <v>50.836711805777647</v>
      </c>
      <c r="G30" s="43" t="s">
        <v>178</v>
      </c>
      <c r="H30" s="43">
        <v>66426.985387057342</v>
      </c>
      <c r="M30" s="32">
        <v>26.5</v>
      </c>
      <c r="N30" s="32">
        <v>550</v>
      </c>
      <c r="O30">
        <f t="shared" si="5"/>
        <v>302500</v>
      </c>
      <c r="P30">
        <f t="shared" si="6"/>
        <v>166375000</v>
      </c>
      <c r="Q30">
        <f t="shared" si="2"/>
        <v>26.928810472694803</v>
      </c>
      <c r="S30" s="43" t="s">
        <v>178</v>
      </c>
      <c r="T30" s="43">
        <v>1.0894741709199358E-7</v>
      </c>
    </row>
    <row r="31" spans="1:20">
      <c r="A31" s="32">
        <v>60</v>
      </c>
      <c r="B31" s="32">
        <v>0.125</v>
      </c>
      <c r="C31">
        <f t="shared" si="3"/>
        <v>1.5625E-2</v>
      </c>
      <c r="D31">
        <f t="shared" si="4"/>
        <v>1.953125E-3</v>
      </c>
      <c r="E31" s="46">
        <f t="shared" si="1"/>
        <v>56.800430843400562</v>
      </c>
      <c r="M31" s="32">
        <v>24.5</v>
      </c>
      <c r="N31" s="32">
        <v>610</v>
      </c>
      <c r="O31">
        <f t="shared" si="5"/>
        <v>372100</v>
      </c>
      <c r="P31">
        <f t="shared" si="6"/>
        <v>226981000</v>
      </c>
      <c r="Q31">
        <f t="shared" si="2"/>
        <v>25.156329544129466</v>
      </c>
    </row>
    <row r="32" spans="1:20">
      <c r="A32" s="32">
        <v>70</v>
      </c>
      <c r="B32" s="32">
        <v>0.16</v>
      </c>
      <c r="C32">
        <f t="shared" si="3"/>
        <v>2.5600000000000001E-2</v>
      </c>
      <c r="D32">
        <f t="shared" si="4"/>
        <v>4.0960000000000007E-3</v>
      </c>
      <c r="E32" s="46">
        <f t="shared" si="1"/>
        <v>71.161248291718266</v>
      </c>
      <c r="M32" s="32">
        <v>22.5</v>
      </c>
      <c r="N32" s="32">
        <v>670</v>
      </c>
      <c r="O32">
        <f t="shared" si="5"/>
        <v>448900</v>
      </c>
      <c r="P32">
        <f t="shared" si="6"/>
        <v>300763000</v>
      </c>
      <c r="Q32">
        <f t="shared" si="2"/>
        <v>22.896324432299856</v>
      </c>
    </row>
    <row r="33" spans="5:17">
      <c r="E33" t="s">
        <v>12</v>
      </c>
      <c r="M33" s="32">
        <v>21</v>
      </c>
      <c r="N33" s="32">
        <v>720</v>
      </c>
      <c r="O33">
        <f t="shared" si="5"/>
        <v>518400</v>
      </c>
      <c r="P33">
        <f t="shared" si="6"/>
        <v>373248000</v>
      </c>
      <c r="Q33">
        <f t="shared" si="2"/>
        <v>20.742438367429273</v>
      </c>
    </row>
    <row r="34" spans="5:17">
      <c r="M34" s="32">
        <v>18.5</v>
      </c>
      <c r="N34" s="32">
        <v>780</v>
      </c>
      <c r="O34">
        <f t="shared" si="5"/>
        <v>608400</v>
      </c>
      <c r="P34">
        <f t="shared" si="6"/>
        <v>474552000</v>
      </c>
      <c r="Q34">
        <f t="shared" si="2"/>
        <v>17.955355925546712</v>
      </c>
    </row>
    <row r="35" spans="5:17">
      <c r="M35" s="32">
        <v>16.5</v>
      </c>
      <c r="N35" s="32">
        <v>830</v>
      </c>
      <c r="O35">
        <f t="shared" si="5"/>
        <v>688900</v>
      </c>
      <c r="P35">
        <f t="shared" si="6"/>
        <v>571787000</v>
      </c>
      <c r="Q35">
        <f t="shared" si="2"/>
        <v>15.559978314320617</v>
      </c>
    </row>
    <row r="36" spans="5:17">
      <c r="M36" s="32">
        <v>13</v>
      </c>
      <c r="N36" s="32">
        <v>890</v>
      </c>
      <c r="O36">
        <f t="shared" si="5"/>
        <v>792100</v>
      </c>
      <c r="P36">
        <f t="shared" si="6"/>
        <v>704969000</v>
      </c>
      <c r="Q36">
        <f t="shared" si="2"/>
        <v>12.720393491237843</v>
      </c>
    </row>
    <row r="37" spans="5:17">
      <c r="M37" s="32">
        <v>10</v>
      </c>
      <c r="N37" s="32">
        <v>930</v>
      </c>
      <c r="O37">
        <f t="shared" si="5"/>
        <v>864900</v>
      </c>
      <c r="P37">
        <f t="shared" si="6"/>
        <v>804357000</v>
      </c>
      <c r="Q37">
        <f t="shared" si="2"/>
        <v>10.913837702097553</v>
      </c>
    </row>
    <row r="38" spans="5:17">
      <c r="L38" s="32"/>
      <c r="M38" s="32"/>
    </row>
    <row r="39" spans="5:17">
      <c r="L39" s="32"/>
      <c r="M39" s="32"/>
    </row>
    <row r="40" spans="5:17">
      <c r="L40" s="32"/>
      <c r="M40" s="32"/>
    </row>
    <row r="41" spans="5:17">
      <c r="L41" s="32"/>
      <c r="M41" s="32"/>
    </row>
    <row r="55" spans="4:4">
      <c r="D55" s="131"/>
    </row>
    <row r="56" spans="4:4">
      <c r="D56" s="131"/>
    </row>
    <row r="57" spans="4:4">
      <c r="D57" s="131"/>
    </row>
    <row r="58" spans="4:4">
      <c r="D58" s="131"/>
    </row>
    <row r="59" spans="4:4">
      <c r="D59" s="131"/>
    </row>
    <row r="60" spans="4:4">
      <c r="D60" s="131"/>
    </row>
    <row r="61" spans="4:4">
      <c r="D61" s="131"/>
    </row>
    <row r="62" spans="4:4">
      <c r="D62" s="131"/>
    </row>
    <row r="63" spans="4:4">
      <c r="D63" s="131"/>
    </row>
    <row r="64" spans="4:4">
      <c r="D64" s="131"/>
    </row>
    <row r="65" spans="4:4">
      <c r="D65" s="131"/>
    </row>
    <row r="66" spans="4:4">
      <c r="D66" s="131"/>
    </row>
    <row r="67" spans="4:4">
      <c r="D67" s="131"/>
    </row>
    <row r="68" spans="4:4">
      <c r="D68" s="131"/>
    </row>
    <row r="96" spans="18:20" ht="15.75" thickBot="1">
      <c r="R96" s="43"/>
      <c r="S96" s="43"/>
      <c r="T96" s="4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4770-C47B-4A72-B028-15F91AA20D75}">
  <sheetPr codeName="Sheet4">
    <tabColor theme="2" tint="-0.249977111117893"/>
  </sheetPr>
  <dimension ref="A1:T96"/>
  <sheetViews>
    <sheetView workbookViewId="0"/>
  </sheetViews>
  <sheetFormatPr defaultRowHeight="15"/>
  <cols>
    <col min="1" max="1" width="10" customWidth="1"/>
    <col min="3" max="3" width="11" bestFit="1" customWidth="1"/>
    <col min="4" max="4" width="11" customWidth="1"/>
    <col min="6" max="6" width="12" bestFit="1" customWidth="1"/>
    <col min="7" max="7" width="10.7109375" customWidth="1"/>
    <col min="15" max="15" width="12" bestFit="1" customWidth="1"/>
  </cols>
  <sheetData>
    <row r="1" spans="5:13" ht="21">
      <c r="E1" s="101" t="s">
        <v>105</v>
      </c>
    </row>
    <row r="2" spans="5:13">
      <c r="E2" t="s">
        <v>106</v>
      </c>
    </row>
    <row r="4" spans="5:13">
      <c r="F4" t="s">
        <v>107</v>
      </c>
      <c r="G4" s="32" t="s">
        <v>108</v>
      </c>
      <c r="H4" s="32" t="s">
        <v>109</v>
      </c>
    </row>
    <row r="5" spans="5:13">
      <c r="G5" s="236">
        <f>'Prop Est Flash 2'!U17+'Prop Est Flash 2'!U18</f>
        <v>0.24501554261382869</v>
      </c>
      <c r="H5" s="236">
        <f>'Prop Est Flash 2'!U19+'Prop Est Flash 2'!U20+'Prop Est Flash 2'!U21+'Prop Est Flash 2'!U22+'Prop Est Flash 2'!U23</f>
        <v>0.16940631110465448</v>
      </c>
      <c r="J5" t="s">
        <v>272</v>
      </c>
    </row>
    <row r="7" spans="5:13">
      <c r="F7" t="s">
        <v>110</v>
      </c>
      <c r="G7" t="s">
        <v>111</v>
      </c>
    </row>
    <row r="9" spans="5:13">
      <c r="F9" s="32" t="s">
        <v>50</v>
      </c>
      <c r="G9" s="32" t="s">
        <v>112</v>
      </c>
      <c r="H9" s="32" t="s">
        <v>113</v>
      </c>
      <c r="I9" s="32" t="s">
        <v>114</v>
      </c>
    </row>
    <row r="10" spans="5:13">
      <c r="E10" t="s">
        <v>115</v>
      </c>
      <c r="F10" s="32">
        <f>G10*($G$5)^H10*($H$5)^I10</f>
        <v>0.11496889542485242</v>
      </c>
      <c r="G10" s="32">
        <v>0.64559999999999995</v>
      </c>
      <c r="H10" s="32">
        <v>0.22</v>
      </c>
      <c r="I10" s="32">
        <v>0.79759999999999998</v>
      </c>
    </row>
    <row r="11" spans="5:13">
      <c r="E11" t="s">
        <v>116</v>
      </c>
      <c r="F11" s="32">
        <f t="shared" ref="F11:F13" si="0">G11*($G$5)^H11*($H$5)^I11</f>
        <v>6.8349751521224009E-2</v>
      </c>
      <c r="G11" s="32">
        <v>0.50439999999999996</v>
      </c>
      <c r="H11" s="32">
        <v>-0.26729999999999998</v>
      </c>
      <c r="I11" s="32">
        <v>1.3374999999999999</v>
      </c>
    </row>
    <row r="12" spans="5:13">
      <c r="E12" t="s">
        <v>117</v>
      </c>
      <c r="F12" s="32">
        <f t="shared" si="0"/>
        <v>7.7573485090289863E-3</v>
      </c>
      <c r="G12" s="32">
        <v>7.0139999999999994E-2</v>
      </c>
      <c r="H12" s="32">
        <v>-1.0097</v>
      </c>
      <c r="I12" s="32">
        <v>2.04</v>
      </c>
    </row>
    <row r="13" spans="5:13">
      <c r="E13" t="s">
        <v>118</v>
      </c>
      <c r="F13" s="32">
        <f t="shared" si="0"/>
        <v>6.9364592844668596E-4</v>
      </c>
      <c r="G13" s="32">
        <v>6.149E-3</v>
      </c>
      <c r="H13" s="32">
        <v>-1.5176000000000001</v>
      </c>
      <c r="I13" s="32">
        <v>2.4312</v>
      </c>
    </row>
    <row r="14" spans="5:13">
      <c r="E14" t="s">
        <v>119</v>
      </c>
      <c r="F14" s="32">
        <f>SUM(F10:F13)</f>
        <v>0.19176964138355207</v>
      </c>
    </row>
    <row r="15" spans="5:13">
      <c r="E15" t="s">
        <v>122</v>
      </c>
      <c r="F15" s="32">
        <f>IF(F14&lt;0.2,(H27+F14*H28+F14^2*H29+F14^3*H30),125)</f>
        <v>105.80712169605096</v>
      </c>
      <c r="G15" t="s">
        <v>273</v>
      </c>
    </row>
    <row r="16" spans="5:13">
      <c r="L16" s="32"/>
      <c r="M16" s="32"/>
    </row>
    <row r="17" spans="1:20">
      <c r="A17" s="32" t="s">
        <v>173</v>
      </c>
      <c r="B17" s="32" t="s">
        <v>174</v>
      </c>
      <c r="C17" s="32" t="s">
        <v>175</v>
      </c>
      <c r="D17" s="32" t="s">
        <v>177</v>
      </c>
      <c r="E17" t="s">
        <v>176</v>
      </c>
      <c r="G17" t="s">
        <v>149</v>
      </c>
      <c r="M17" t="s">
        <v>173</v>
      </c>
      <c r="N17" t="s">
        <v>242</v>
      </c>
      <c r="O17" t="s">
        <v>175</v>
      </c>
      <c r="P17" t="s">
        <v>177</v>
      </c>
      <c r="Q17" t="s">
        <v>278</v>
      </c>
      <c r="S17" t="s">
        <v>149</v>
      </c>
    </row>
    <row r="18" spans="1:20" ht="15.75" thickBot="1">
      <c r="A18" s="32" t="s">
        <v>122</v>
      </c>
      <c r="B18" s="32" t="s">
        <v>119</v>
      </c>
      <c r="M18" s="32" t="s">
        <v>120</v>
      </c>
      <c r="N18" s="32" t="s">
        <v>121</v>
      </c>
    </row>
    <row r="19" spans="1:20">
      <c r="A19" s="32">
        <v>-50</v>
      </c>
      <c r="B19" s="32">
        <v>1E-4</v>
      </c>
      <c r="C19">
        <f>B19^2</f>
        <v>1E-8</v>
      </c>
      <c r="D19">
        <f>B19^3</f>
        <v>9.9999999999999998E-13</v>
      </c>
      <c r="E19" s="46">
        <f t="shared" ref="E19:E32" si="1">$H$27+B19*$H$28+C19*$H$29+D19*$H$30</f>
        <v>-45.262659667317067</v>
      </c>
      <c r="G19" s="45" t="s">
        <v>150</v>
      </c>
      <c r="H19" s="45"/>
      <c r="M19" s="32">
        <v>10</v>
      </c>
      <c r="N19" s="32">
        <v>100</v>
      </c>
      <c r="O19">
        <f>N19^2</f>
        <v>10000</v>
      </c>
      <c r="P19">
        <f>N19^3</f>
        <v>1000000</v>
      </c>
      <c r="Q19">
        <f t="shared" ref="Q19:Q37" si="2">$T$27+$T$28*N19+$T$29*O19+$T$30*P19</f>
        <v>10.430627728495171</v>
      </c>
      <c r="S19" s="45" t="s">
        <v>150</v>
      </c>
      <c r="T19" s="45"/>
    </row>
    <row r="20" spans="1:20">
      <c r="A20" s="32">
        <v>-40</v>
      </c>
      <c r="B20" s="32">
        <v>3.0000000000000001E-3</v>
      </c>
      <c r="C20">
        <f t="shared" ref="C20:C32" si="3">B20^2</f>
        <v>9.0000000000000002E-6</v>
      </c>
      <c r="D20">
        <f t="shared" ref="D20:D32" si="4">B20^3</f>
        <v>2.7E-8</v>
      </c>
      <c r="E20" s="46">
        <f t="shared" si="1"/>
        <v>-38.302898649656477</v>
      </c>
      <c r="G20" t="s">
        <v>151</v>
      </c>
      <c r="H20">
        <v>0.99770041097431517</v>
      </c>
      <c r="M20" s="32">
        <v>12</v>
      </c>
      <c r="N20" s="32">
        <v>110</v>
      </c>
      <c r="O20">
        <f t="shared" ref="O20:O37" si="5">N20^2</f>
        <v>12100</v>
      </c>
      <c r="P20">
        <f t="shared" ref="P20:P37" si="6">N20^3</f>
        <v>1331000</v>
      </c>
      <c r="Q20">
        <f t="shared" si="2"/>
        <v>11.608109896696909</v>
      </c>
      <c r="S20" t="s">
        <v>151</v>
      </c>
      <c r="T20">
        <v>0.99651257673949667</v>
      </c>
    </row>
    <row r="21" spans="1:20">
      <c r="A21" s="32">
        <v>-40</v>
      </c>
      <c r="B21" s="32">
        <v>3.0000000000000001E-3</v>
      </c>
      <c r="C21">
        <f t="shared" si="3"/>
        <v>9.0000000000000002E-6</v>
      </c>
      <c r="D21">
        <f t="shared" si="4"/>
        <v>2.7E-8</v>
      </c>
      <c r="E21" s="46">
        <f t="shared" si="1"/>
        <v>-38.302898649656477</v>
      </c>
      <c r="G21" t="s">
        <v>152</v>
      </c>
      <c r="H21">
        <v>0.99540611005831747</v>
      </c>
      <c r="M21" s="32">
        <v>15</v>
      </c>
      <c r="N21" s="32">
        <v>140</v>
      </c>
      <c r="O21">
        <f t="shared" si="5"/>
        <v>19600</v>
      </c>
      <c r="P21">
        <f t="shared" si="6"/>
        <v>2744000</v>
      </c>
      <c r="Q21">
        <f t="shared" si="2"/>
        <v>14.865811758002687</v>
      </c>
      <c r="S21" t="s">
        <v>152</v>
      </c>
      <c r="T21">
        <v>0.99303731559999131</v>
      </c>
    </row>
    <row r="22" spans="1:20">
      <c r="A22" s="32">
        <v>-30</v>
      </c>
      <c r="B22" s="32">
        <v>5.0000000000000001E-3</v>
      </c>
      <c r="C22">
        <f t="shared" si="3"/>
        <v>2.5000000000000001E-5</v>
      </c>
      <c r="D22">
        <f t="shared" si="4"/>
        <v>1.2500000000000002E-7</v>
      </c>
      <c r="E22" s="46">
        <f t="shared" si="1"/>
        <v>-33.70832126861761</v>
      </c>
      <c r="G22" t="s">
        <v>153</v>
      </c>
      <c r="H22">
        <v>0.99402794307581266</v>
      </c>
      <c r="M22" s="32">
        <v>18</v>
      </c>
      <c r="N22" s="32">
        <v>180</v>
      </c>
      <c r="O22">
        <f t="shared" si="5"/>
        <v>32400</v>
      </c>
      <c r="P22">
        <f t="shared" si="6"/>
        <v>5832000</v>
      </c>
      <c r="Q22">
        <f t="shared" si="2"/>
        <v>18.592747626806993</v>
      </c>
      <c r="S22" t="s">
        <v>153</v>
      </c>
      <c r="T22">
        <v>0.99164477871998946</v>
      </c>
    </row>
    <row r="23" spans="1:20">
      <c r="A23" s="32">
        <v>-20</v>
      </c>
      <c r="B23" s="32">
        <v>0.01</v>
      </c>
      <c r="C23">
        <f t="shared" si="3"/>
        <v>1E-4</v>
      </c>
      <c r="D23">
        <f t="shared" si="4"/>
        <v>1.0000000000000002E-6</v>
      </c>
      <c r="E23" s="46">
        <f t="shared" si="1"/>
        <v>-22.931924449707498</v>
      </c>
      <c r="G23" t="s">
        <v>154</v>
      </c>
      <c r="H23">
        <v>3.0703938558960342</v>
      </c>
      <c r="M23" s="32">
        <v>20</v>
      </c>
      <c r="N23" s="32">
        <v>200</v>
      </c>
      <c r="O23">
        <f t="shared" si="5"/>
        <v>40000</v>
      </c>
      <c r="P23">
        <f t="shared" si="6"/>
        <v>8000000</v>
      </c>
      <c r="Q23">
        <f t="shared" si="2"/>
        <v>20.203696190996478</v>
      </c>
      <c r="S23" t="s">
        <v>154</v>
      </c>
      <c r="T23">
        <v>0.57630323665945693</v>
      </c>
    </row>
    <row r="24" spans="1:20" ht="15.75" thickBot="1">
      <c r="A24" s="32">
        <v>-10</v>
      </c>
      <c r="B24" s="32">
        <v>1.6E-2</v>
      </c>
      <c r="C24">
        <f t="shared" si="3"/>
        <v>2.5599999999999999E-4</v>
      </c>
      <c r="D24">
        <f t="shared" si="4"/>
        <v>4.0960000000000003E-6</v>
      </c>
      <c r="E24" s="46">
        <f t="shared" si="1"/>
        <v>-11.28219899422032</v>
      </c>
      <c r="G24" s="43" t="s">
        <v>155</v>
      </c>
      <c r="H24" s="43">
        <v>14</v>
      </c>
      <c r="M24" s="32">
        <v>22</v>
      </c>
      <c r="N24" s="32">
        <v>225</v>
      </c>
      <c r="O24">
        <f t="shared" si="5"/>
        <v>50625</v>
      </c>
      <c r="P24">
        <f t="shared" si="6"/>
        <v>11390625</v>
      </c>
      <c r="Q24">
        <f t="shared" si="2"/>
        <v>21.991063083418375</v>
      </c>
      <c r="S24" s="43" t="s">
        <v>155</v>
      </c>
      <c r="T24" s="43">
        <v>19</v>
      </c>
    </row>
    <row r="25" spans="1:20" ht="15.75" thickBot="1">
      <c r="A25" s="32">
        <v>0</v>
      </c>
      <c r="B25" s="32">
        <v>0.02</v>
      </c>
      <c r="C25">
        <f t="shared" si="3"/>
        <v>4.0000000000000002E-4</v>
      </c>
      <c r="D25">
        <f t="shared" si="4"/>
        <v>8.0000000000000013E-6</v>
      </c>
      <c r="E25" s="46">
        <f t="shared" si="1"/>
        <v>-4.2527990006663039</v>
      </c>
      <c r="M25" s="32">
        <v>26</v>
      </c>
      <c r="N25" s="32">
        <v>280</v>
      </c>
      <c r="O25">
        <f t="shared" si="5"/>
        <v>78400</v>
      </c>
      <c r="P25">
        <f t="shared" si="6"/>
        <v>21952000</v>
      </c>
      <c r="Q25">
        <f t="shared" si="2"/>
        <v>25.086049086812984</v>
      </c>
    </row>
    <row r="26" spans="1:20">
      <c r="A26" s="32">
        <v>10</v>
      </c>
      <c r="B26" s="32">
        <v>0.03</v>
      </c>
      <c r="C26">
        <f t="shared" si="3"/>
        <v>8.9999999999999998E-4</v>
      </c>
      <c r="D26">
        <f t="shared" si="4"/>
        <v>2.6999999999999999E-5</v>
      </c>
      <c r="E26" s="46">
        <f t="shared" si="1"/>
        <v>10.926903790271465</v>
      </c>
      <c r="G26" s="44"/>
      <c r="H26" s="44" t="s">
        <v>164</v>
      </c>
      <c r="M26" s="32">
        <v>27.5</v>
      </c>
      <c r="N26" s="32">
        <v>330</v>
      </c>
      <c r="O26">
        <f t="shared" si="5"/>
        <v>108900</v>
      </c>
      <c r="P26">
        <f t="shared" si="6"/>
        <v>35937000</v>
      </c>
      <c r="Q26">
        <f t="shared" si="2"/>
        <v>26.975072272598101</v>
      </c>
      <c r="S26" s="44"/>
      <c r="T26" s="44" t="s">
        <v>164</v>
      </c>
    </row>
    <row r="27" spans="1:20">
      <c r="A27" s="32">
        <v>20</v>
      </c>
      <c r="B27" s="32">
        <v>3.6999999999999998E-2</v>
      </c>
      <c r="C27">
        <f t="shared" si="3"/>
        <v>1.3689999999999998E-3</v>
      </c>
      <c r="D27">
        <f t="shared" si="4"/>
        <v>5.0652999999999991E-5</v>
      </c>
      <c r="E27" s="46">
        <f t="shared" si="1"/>
        <v>19.683969166404992</v>
      </c>
      <c r="G27" t="s">
        <v>159</v>
      </c>
      <c r="H27">
        <v>-45.509034469174452</v>
      </c>
      <c r="M27" s="32">
        <v>28.2</v>
      </c>
      <c r="N27" s="32">
        <v>390</v>
      </c>
      <c r="O27">
        <f t="shared" si="5"/>
        <v>152100</v>
      </c>
      <c r="P27">
        <f t="shared" si="6"/>
        <v>59319000</v>
      </c>
      <c r="Q27">
        <f t="shared" si="2"/>
        <v>28.198188976718011</v>
      </c>
      <c r="S27" t="s">
        <v>159</v>
      </c>
      <c r="T27">
        <v>-4.0304655394220319</v>
      </c>
    </row>
    <row r="28" spans="1:20">
      <c r="A28" s="32">
        <v>30</v>
      </c>
      <c r="B28" s="32">
        <v>0.05</v>
      </c>
      <c r="C28">
        <f t="shared" si="3"/>
        <v>2.5000000000000005E-3</v>
      </c>
      <c r="D28">
        <f t="shared" si="4"/>
        <v>1.2500000000000003E-4</v>
      </c>
      <c r="E28" s="46">
        <f t="shared" si="1"/>
        <v>32.382289047126143</v>
      </c>
      <c r="G28" t="s">
        <v>171</v>
      </c>
      <c r="H28">
        <v>2465.8956275453947</v>
      </c>
      <c r="M28" s="32">
        <v>28.5</v>
      </c>
      <c r="N28" s="32">
        <v>440</v>
      </c>
      <c r="O28">
        <f t="shared" si="5"/>
        <v>193600</v>
      </c>
      <c r="P28">
        <f t="shared" si="6"/>
        <v>85184000</v>
      </c>
      <c r="Q28">
        <f t="shared" si="2"/>
        <v>28.443567358173684</v>
      </c>
      <c r="S28" t="s">
        <v>171</v>
      </c>
      <c r="T28">
        <v>0.17023000504809138</v>
      </c>
    </row>
    <row r="29" spans="1:20">
      <c r="A29" s="32">
        <v>40</v>
      </c>
      <c r="B29" s="32">
        <v>6.5000000000000002E-2</v>
      </c>
      <c r="C29">
        <f t="shared" si="3"/>
        <v>4.2250000000000005E-3</v>
      </c>
      <c r="D29">
        <f t="shared" si="4"/>
        <v>2.7462500000000002E-4</v>
      </c>
      <c r="E29" s="46">
        <f t="shared" si="1"/>
        <v>42.252147735143112</v>
      </c>
      <c r="G29" t="s">
        <v>172</v>
      </c>
      <c r="H29">
        <v>-21482.732413740523</v>
      </c>
      <c r="M29" s="32">
        <v>27.5</v>
      </c>
      <c r="N29" s="32">
        <v>500</v>
      </c>
      <c r="O29">
        <f t="shared" si="5"/>
        <v>250000</v>
      </c>
      <c r="P29">
        <f t="shared" si="6"/>
        <v>125000000</v>
      </c>
      <c r="Q29">
        <f t="shared" si="2"/>
        <v>27.931597771524629</v>
      </c>
      <c r="S29" t="s">
        <v>172</v>
      </c>
      <c r="T29">
        <v>-2.6708546539839297E-4</v>
      </c>
    </row>
    <row r="30" spans="1:20" ht="15.75" thickBot="1">
      <c r="A30" s="32">
        <v>50</v>
      </c>
      <c r="B30" s="32">
        <v>0.09</v>
      </c>
      <c r="C30">
        <f t="shared" si="3"/>
        <v>8.0999999999999996E-3</v>
      </c>
      <c r="D30">
        <f t="shared" si="4"/>
        <v>7.2899999999999994E-4</v>
      </c>
      <c r="E30" s="46">
        <f t="shared" si="1"/>
        <v>50.836711805777647</v>
      </c>
      <c r="G30" s="43" t="s">
        <v>178</v>
      </c>
      <c r="H30" s="43">
        <v>66426.985387057342</v>
      </c>
      <c r="M30" s="32">
        <v>26.5</v>
      </c>
      <c r="N30" s="32">
        <v>550</v>
      </c>
      <c r="O30">
        <f t="shared" si="5"/>
        <v>302500</v>
      </c>
      <c r="P30">
        <f t="shared" si="6"/>
        <v>166375000</v>
      </c>
      <c r="Q30">
        <f t="shared" si="2"/>
        <v>26.928810472694803</v>
      </c>
      <c r="S30" s="43" t="s">
        <v>178</v>
      </c>
      <c r="T30" s="43">
        <v>1.0894741709199358E-7</v>
      </c>
    </row>
    <row r="31" spans="1:20">
      <c r="A31" s="32">
        <v>60</v>
      </c>
      <c r="B31" s="32">
        <v>0.125</v>
      </c>
      <c r="C31">
        <f t="shared" si="3"/>
        <v>1.5625E-2</v>
      </c>
      <c r="D31">
        <f t="shared" si="4"/>
        <v>1.953125E-3</v>
      </c>
      <c r="E31" s="46">
        <f t="shared" si="1"/>
        <v>56.800430843400562</v>
      </c>
      <c r="M31" s="32">
        <v>24.5</v>
      </c>
      <c r="N31" s="32">
        <v>610</v>
      </c>
      <c r="O31">
        <f t="shared" si="5"/>
        <v>372100</v>
      </c>
      <c r="P31">
        <f t="shared" si="6"/>
        <v>226981000</v>
      </c>
      <c r="Q31">
        <f t="shared" si="2"/>
        <v>25.156329544129466</v>
      </c>
    </row>
    <row r="32" spans="1:20">
      <c r="A32" s="32">
        <v>70</v>
      </c>
      <c r="B32" s="32">
        <v>0.16</v>
      </c>
      <c r="C32">
        <f t="shared" si="3"/>
        <v>2.5600000000000001E-2</v>
      </c>
      <c r="D32">
        <f t="shared" si="4"/>
        <v>4.0960000000000007E-3</v>
      </c>
      <c r="E32" s="46">
        <f t="shared" si="1"/>
        <v>71.161248291718266</v>
      </c>
      <c r="M32" s="32">
        <v>22.5</v>
      </c>
      <c r="N32" s="32">
        <v>670</v>
      </c>
      <c r="O32">
        <f t="shared" si="5"/>
        <v>448900</v>
      </c>
      <c r="P32">
        <f t="shared" si="6"/>
        <v>300763000</v>
      </c>
      <c r="Q32">
        <f t="shared" si="2"/>
        <v>22.896324432299856</v>
      </c>
    </row>
    <row r="33" spans="5:17">
      <c r="E33" t="s">
        <v>12</v>
      </c>
      <c r="M33" s="32">
        <v>21</v>
      </c>
      <c r="N33" s="32">
        <v>720</v>
      </c>
      <c r="O33">
        <f t="shared" si="5"/>
        <v>518400</v>
      </c>
      <c r="P33">
        <f t="shared" si="6"/>
        <v>373248000</v>
      </c>
      <c r="Q33">
        <f t="shared" si="2"/>
        <v>20.742438367429273</v>
      </c>
    </row>
    <row r="34" spans="5:17">
      <c r="M34" s="32">
        <v>18.5</v>
      </c>
      <c r="N34" s="32">
        <v>780</v>
      </c>
      <c r="O34">
        <f t="shared" si="5"/>
        <v>608400</v>
      </c>
      <c r="P34">
        <f t="shared" si="6"/>
        <v>474552000</v>
      </c>
      <c r="Q34">
        <f t="shared" si="2"/>
        <v>17.955355925546712</v>
      </c>
    </row>
    <row r="35" spans="5:17">
      <c r="M35" s="32">
        <v>16.5</v>
      </c>
      <c r="N35" s="32">
        <v>830</v>
      </c>
      <c r="O35">
        <f t="shared" si="5"/>
        <v>688900</v>
      </c>
      <c r="P35">
        <f t="shared" si="6"/>
        <v>571787000</v>
      </c>
      <c r="Q35">
        <f t="shared" si="2"/>
        <v>15.559978314320617</v>
      </c>
    </row>
    <row r="36" spans="5:17">
      <c r="M36" s="32">
        <v>13</v>
      </c>
      <c r="N36" s="32">
        <v>890</v>
      </c>
      <c r="O36">
        <f t="shared" si="5"/>
        <v>792100</v>
      </c>
      <c r="P36">
        <f t="shared" si="6"/>
        <v>704969000</v>
      </c>
      <c r="Q36">
        <f t="shared" si="2"/>
        <v>12.720393491237843</v>
      </c>
    </row>
    <row r="37" spans="5:17">
      <c r="M37" s="32">
        <v>10</v>
      </c>
      <c r="N37" s="32">
        <v>930</v>
      </c>
      <c r="O37">
        <f t="shared" si="5"/>
        <v>864900</v>
      </c>
      <c r="P37">
        <f t="shared" si="6"/>
        <v>804357000</v>
      </c>
      <c r="Q37">
        <f t="shared" si="2"/>
        <v>10.913837702097553</v>
      </c>
    </row>
    <row r="38" spans="5:17">
      <c r="L38" s="32"/>
      <c r="M38" s="32"/>
    </row>
    <row r="39" spans="5:17">
      <c r="L39" s="32"/>
      <c r="M39" s="32"/>
    </row>
    <row r="40" spans="5:17">
      <c r="L40" s="32"/>
      <c r="M40" s="32"/>
    </row>
    <row r="41" spans="5:17">
      <c r="L41" s="32"/>
      <c r="M41" s="32"/>
    </row>
    <row r="55" spans="4:4">
      <c r="D55" s="131"/>
    </row>
    <row r="56" spans="4:4">
      <c r="D56" s="131"/>
    </row>
    <row r="57" spans="4:4">
      <c r="D57" s="131"/>
    </row>
    <row r="58" spans="4:4">
      <c r="D58" s="131"/>
    </row>
    <row r="59" spans="4:4">
      <c r="D59" s="131"/>
    </row>
    <row r="60" spans="4:4">
      <c r="D60" s="131"/>
    </row>
    <row r="61" spans="4:4">
      <c r="D61" s="131"/>
    </row>
    <row r="62" spans="4:4">
      <c r="D62" s="131"/>
    </row>
    <row r="63" spans="4:4">
      <c r="D63" s="131"/>
    </row>
    <row r="64" spans="4:4">
      <c r="D64" s="131"/>
    </row>
    <row r="65" spans="4:4">
      <c r="D65" s="131"/>
    </row>
    <row r="66" spans="4:4">
      <c r="D66" s="131"/>
    </row>
    <row r="67" spans="4:4">
      <c r="D67" s="131"/>
    </row>
    <row r="68" spans="4:4">
      <c r="D68" s="131"/>
    </row>
    <row r="96" spans="18:20" ht="15.75" thickBot="1">
      <c r="R96" s="43"/>
      <c r="S96" s="43"/>
      <c r="T96" s="4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499984740745262"/>
  </sheetPr>
  <dimension ref="A1:BE89"/>
  <sheetViews>
    <sheetView zoomScaleNormal="100" workbookViewId="0"/>
  </sheetViews>
  <sheetFormatPr defaultColWidth="8.85546875" defaultRowHeight="15"/>
  <cols>
    <col min="1" max="1" width="8.85546875" style="2"/>
    <col min="2" max="2" width="18.7109375" style="2" customWidth="1"/>
    <col min="3" max="3" width="10.28515625" style="2" customWidth="1"/>
    <col min="4" max="7" width="8.85546875" style="2"/>
    <col min="8" max="8" width="9.42578125" style="2" customWidth="1"/>
    <col min="9" max="13" width="8.85546875" style="2"/>
    <col min="14" max="14" width="10" style="11" customWidth="1"/>
    <col min="15" max="16" width="8.85546875" style="16"/>
    <col min="17" max="19" width="8.85546875" style="2"/>
    <col min="20" max="20" width="10.7109375" style="2" customWidth="1"/>
    <col min="21" max="21" width="8.85546875" style="2"/>
    <col min="22" max="22" width="12" style="2" hidden="1" customWidth="1"/>
    <col min="23" max="23" width="9.42578125" style="2" hidden="1" customWidth="1"/>
    <col min="24" max="24" width="12" style="2" hidden="1" customWidth="1"/>
    <col min="25" max="25" width="12" style="2" bestFit="1" customWidth="1"/>
    <col min="26" max="28" width="8.85546875" style="2"/>
    <col min="29" max="30" width="12" style="2" bestFit="1" customWidth="1"/>
    <col min="31" max="31" width="12.7109375" style="2" customWidth="1"/>
    <col min="32" max="32" width="12" style="2" bestFit="1" customWidth="1"/>
    <col min="33" max="33" width="13.5703125" style="2" customWidth="1"/>
    <col min="34" max="35" width="8.85546875" style="2"/>
    <col min="36" max="36" width="12.5703125" style="2" bestFit="1" customWidth="1"/>
    <col min="37" max="37" width="8.85546875" style="2"/>
    <col min="38" max="38" width="12" style="2" bestFit="1" customWidth="1"/>
    <col min="39" max="51" width="8.85546875" style="2"/>
    <col min="52" max="52" width="12" style="2" bestFit="1" customWidth="1"/>
    <col min="53" max="56" width="8.85546875" style="2"/>
    <col min="57" max="57" width="12" style="2" bestFit="1" customWidth="1"/>
    <col min="58" max="16384" width="8.85546875" style="2"/>
  </cols>
  <sheetData>
    <row r="1" spans="1:57">
      <c r="Q1" s="16"/>
      <c r="R1" s="16"/>
      <c r="S1" s="16"/>
      <c r="T1" s="16"/>
      <c r="U1" s="16"/>
      <c r="V1" s="16"/>
      <c r="W1" s="16"/>
    </row>
    <row r="2" spans="1:57" ht="15.75">
      <c r="B2" s="42"/>
      <c r="D2" s="2" t="s">
        <v>491</v>
      </c>
      <c r="E2" s="237">
        <f>Drawing!L35</f>
        <v>93.458333333333329</v>
      </c>
      <c r="F2" s="239">
        <f>E2+460</f>
        <v>553.45833333333337</v>
      </c>
      <c r="G2" s="52" t="s">
        <v>490</v>
      </c>
      <c r="Q2" s="16"/>
      <c r="R2" s="16"/>
      <c r="S2" s="16"/>
      <c r="T2" s="16"/>
      <c r="U2" s="16"/>
      <c r="V2" s="16"/>
      <c r="W2" s="16"/>
      <c r="Y2" s="207" t="s">
        <v>410</v>
      </c>
      <c r="Z2" s="171" t="s">
        <v>293</v>
      </c>
      <c r="AA2" s="172">
        <v>0.99999000000000005</v>
      </c>
      <c r="AB2" s="175" t="s">
        <v>288</v>
      </c>
      <c r="AC2" s="176"/>
      <c r="AD2" s="223">
        <v>0.9</v>
      </c>
      <c r="AE2" s="177" t="s">
        <v>305</v>
      </c>
      <c r="AF2" s="155">
        <f>(62.4*AD2+0.0136*AD4*AD3)/(0.972+0.000147*(AD4*SQRT(AD3/AD2)+1.25*(460+Drawing!L35))^1.175)</f>
        <v>28.22766135682895</v>
      </c>
      <c r="AG2" s="180" t="s">
        <v>312</v>
      </c>
      <c r="AH2" s="181" t="s">
        <v>313</v>
      </c>
      <c r="AI2" s="71">
        <f>AF2/62.4</f>
        <v>0.45236636789789986</v>
      </c>
      <c r="AK2" s="182" t="s">
        <v>307</v>
      </c>
      <c r="AL2" s="150">
        <f>AA3*AC25/AF2/5.615</f>
        <v>7.6452579027810072E-7</v>
      </c>
      <c r="AM2" s="183" t="s">
        <v>310</v>
      </c>
    </row>
    <row r="3" spans="1:57" ht="15.75">
      <c r="D3" s="2" t="s">
        <v>492</v>
      </c>
      <c r="E3" s="238">
        <f>Drawing!L34</f>
        <v>74.792607188727231</v>
      </c>
      <c r="Q3" s="16"/>
      <c r="R3" s="16"/>
      <c r="S3" s="16"/>
      <c r="T3" s="16"/>
      <c r="U3" s="16"/>
      <c r="V3" s="16"/>
      <c r="W3" s="16"/>
      <c r="Y3" s="206" t="s">
        <v>411</v>
      </c>
      <c r="Z3" s="171" t="s">
        <v>294</v>
      </c>
      <c r="AA3" s="173">
        <f>1-AA2</f>
        <v>9.9999999999544897E-6</v>
      </c>
      <c r="AB3" s="175" t="s">
        <v>289</v>
      </c>
      <c r="AC3" s="155"/>
      <c r="AD3" s="223">
        <v>0.7</v>
      </c>
      <c r="AE3" s="177" t="s">
        <v>306</v>
      </c>
      <c r="AF3" s="155">
        <f>2.7*AD3*Drawing!L34/'Prop Est Flash 1'!K25/(Drawing!L35+460)</f>
        <v>0.25667460338499226</v>
      </c>
      <c r="AG3" s="178" t="s">
        <v>312</v>
      </c>
      <c r="AK3" s="182" t="s">
        <v>308</v>
      </c>
      <c r="AL3" s="150">
        <f>K25*AA2*10.73*520/14.7</f>
        <v>377.68873703082977</v>
      </c>
      <c r="AM3" s="183" t="s">
        <v>311</v>
      </c>
    </row>
    <row r="4" spans="1:57">
      <c r="A4" s="13" t="s">
        <v>457</v>
      </c>
      <c r="Q4" s="16"/>
      <c r="R4" s="16"/>
      <c r="S4" s="16"/>
      <c r="T4" s="16"/>
      <c r="U4" s="16"/>
      <c r="V4" s="16"/>
      <c r="W4" s="16"/>
      <c r="AB4" s="175" t="s">
        <v>302</v>
      </c>
      <c r="AC4" s="155"/>
      <c r="AD4" s="224">
        <v>3000</v>
      </c>
      <c r="AE4" s="179" t="s">
        <v>319</v>
      </c>
      <c r="AF4" s="150">
        <f>AF2*AA3+AF3*AA2</f>
        <v>0.25695431325252543</v>
      </c>
      <c r="AG4" s="178" t="s">
        <v>312</v>
      </c>
      <c r="AK4" s="184" t="s">
        <v>309</v>
      </c>
      <c r="AL4" s="150">
        <f>AL3/AL2</f>
        <v>494016999.60107726</v>
      </c>
      <c r="AM4" s="183" t="s">
        <v>323</v>
      </c>
      <c r="AO4" s="61"/>
      <c r="AP4" s="150"/>
      <c r="AQ4" s="150"/>
      <c r="AR4" s="150"/>
      <c r="AS4" s="150"/>
      <c r="AT4" s="150"/>
      <c r="AU4" s="150" t="s">
        <v>298</v>
      </c>
      <c r="AV4" s="150"/>
      <c r="AW4" s="150"/>
      <c r="AX4" s="150"/>
      <c r="AY4" s="150"/>
      <c r="AZ4" s="150"/>
      <c r="BA4" s="150"/>
      <c r="BB4" s="150"/>
      <c r="BC4" s="150"/>
      <c r="BD4" s="71"/>
    </row>
    <row r="5" spans="1:57">
      <c r="A5" s="13"/>
      <c r="Q5" s="16"/>
      <c r="R5" s="16"/>
      <c r="S5" s="16"/>
      <c r="T5" s="16"/>
      <c r="U5" s="16"/>
      <c r="V5" s="16"/>
      <c r="W5" s="16"/>
      <c r="AB5" s="174"/>
      <c r="AC5" s="32"/>
      <c r="AD5" s="32"/>
      <c r="AE5" s="210"/>
      <c r="AG5" s="157"/>
      <c r="AK5" s="184"/>
      <c r="AL5" s="150"/>
      <c r="AM5" s="183"/>
      <c r="AO5" s="140"/>
      <c r="AP5" s="141"/>
      <c r="AQ5" s="141"/>
      <c r="AR5" s="141"/>
      <c r="AS5" s="141"/>
      <c r="AT5" s="141"/>
      <c r="AU5" s="141"/>
      <c r="AV5" s="150"/>
      <c r="AW5" s="150"/>
      <c r="AX5" s="150"/>
      <c r="AY5" s="141"/>
      <c r="AZ5" s="141"/>
      <c r="BA5" s="141"/>
      <c r="BB5" s="141"/>
      <c r="BC5" s="141"/>
      <c r="BD5" s="142"/>
    </row>
    <row r="6" spans="1:57">
      <c r="A6" s="13"/>
      <c r="X6" s="205" t="s">
        <v>473</v>
      </c>
      <c r="Y6" s="42" t="s">
        <v>472</v>
      </c>
      <c r="AB6" s="158"/>
      <c r="AC6" s="32"/>
      <c r="AD6" s="146"/>
      <c r="AI6" s="159"/>
      <c r="AK6" s="179" t="s">
        <v>320</v>
      </c>
      <c r="AL6" s="150">
        <f>BE25</f>
        <v>383.56518574234684</v>
      </c>
      <c r="AM6" s="183" t="s">
        <v>311</v>
      </c>
      <c r="AO6" s="140"/>
      <c r="AP6" s="141"/>
      <c r="AQ6" s="141"/>
      <c r="AR6" s="141"/>
      <c r="AS6" s="141"/>
      <c r="AT6" s="141"/>
      <c r="AU6" s="141"/>
      <c r="AV6" s="150"/>
      <c r="AW6" s="150"/>
      <c r="AX6" s="150"/>
      <c r="AY6" s="141"/>
      <c r="AZ6" s="141"/>
      <c r="BA6" s="141"/>
      <c r="BB6" s="141"/>
      <c r="BC6" s="141"/>
      <c r="BD6" s="142"/>
    </row>
    <row r="7" spans="1:57">
      <c r="C7" s="7" t="s">
        <v>38</v>
      </c>
      <c r="D7" s="7"/>
      <c r="E7" s="7"/>
      <c r="F7" s="7" t="s">
        <v>39</v>
      </c>
      <c r="G7" s="7" t="s">
        <v>40</v>
      </c>
      <c r="H7" s="7" t="s">
        <v>41</v>
      </c>
      <c r="I7" s="7" t="s">
        <v>42</v>
      </c>
      <c r="J7" s="7" t="s">
        <v>43</v>
      </c>
      <c r="K7" s="7"/>
      <c r="L7" s="342" t="s">
        <v>44</v>
      </c>
      <c r="M7" s="343"/>
      <c r="N7" s="344"/>
      <c r="O7" s="345" t="s">
        <v>45</v>
      </c>
      <c r="P7" s="346"/>
      <c r="Q7" s="7" t="s">
        <v>46</v>
      </c>
      <c r="R7" s="7" t="s">
        <v>47</v>
      </c>
      <c r="S7" s="7" t="s">
        <v>48</v>
      </c>
      <c r="T7" s="7" t="s">
        <v>49</v>
      </c>
      <c r="U7" s="7" t="s">
        <v>50</v>
      </c>
      <c r="V7" s="7"/>
      <c r="W7" s="7"/>
      <c r="X7" s="7"/>
      <c r="Y7" s="141"/>
      <c r="Z7" s="7"/>
      <c r="AA7" s="141"/>
      <c r="AB7" s="7"/>
      <c r="AC7" s="160" t="s">
        <v>300</v>
      </c>
      <c r="AD7" s="168" t="s">
        <v>301</v>
      </c>
      <c r="AE7" s="6" t="s">
        <v>314</v>
      </c>
      <c r="AF7" s="6" t="s">
        <v>316</v>
      </c>
      <c r="AO7" s="7"/>
      <c r="AP7" s="7" t="s">
        <v>39</v>
      </c>
      <c r="AQ7" s="7" t="s">
        <v>40</v>
      </c>
      <c r="AR7" s="7" t="s">
        <v>39</v>
      </c>
      <c r="AS7" s="7" t="s">
        <v>40</v>
      </c>
      <c r="AT7" s="7" t="s">
        <v>43</v>
      </c>
      <c r="AU7" s="7"/>
      <c r="AV7" s="61" t="s">
        <v>297</v>
      </c>
      <c r="AW7" s="155"/>
      <c r="AX7" s="156"/>
      <c r="AY7" s="143" t="s">
        <v>45</v>
      </c>
      <c r="AZ7" s="144"/>
      <c r="BA7" s="7" t="s">
        <v>46</v>
      </c>
      <c r="BB7" s="7" t="s">
        <v>47</v>
      </c>
      <c r="BC7" s="7" t="s">
        <v>48</v>
      </c>
      <c r="BD7" s="7" t="s">
        <v>49</v>
      </c>
      <c r="BE7" s="7" t="s">
        <v>318</v>
      </c>
    </row>
    <row r="8" spans="1:57" ht="15.75">
      <c r="C8" s="8" t="s">
        <v>51</v>
      </c>
      <c r="D8" s="8" t="s">
        <v>52</v>
      </c>
      <c r="E8" s="8" t="s">
        <v>53</v>
      </c>
      <c r="F8" s="17" t="s">
        <v>54</v>
      </c>
      <c r="G8" s="17" t="s">
        <v>55</v>
      </c>
      <c r="H8" s="8" t="s">
        <v>56</v>
      </c>
      <c r="I8" s="8" t="s">
        <v>57</v>
      </c>
      <c r="J8" s="8" t="s">
        <v>58</v>
      </c>
      <c r="K8" s="8" t="s">
        <v>59</v>
      </c>
      <c r="L8" s="6" t="s">
        <v>60</v>
      </c>
      <c r="M8" s="6" t="s">
        <v>61</v>
      </c>
      <c r="N8" s="18" t="s">
        <v>62</v>
      </c>
      <c r="O8" s="19" t="s">
        <v>60</v>
      </c>
      <c r="P8" s="19" t="s">
        <v>63</v>
      </c>
      <c r="Q8" s="8" t="s">
        <v>64</v>
      </c>
      <c r="R8" s="8" t="s">
        <v>64</v>
      </c>
      <c r="S8" s="8" t="s">
        <v>65</v>
      </c>
      <c r="T8" s="8" t="s">
        <v>66</v>
      </c>
      <c r="U8" s="8" t="s">
        <v>67</v>
      </c>
      <c r="V8" s="151" t="s">
        <v>290</v>
      </c>
      <c r="W8" s="151" t="s">
        <v>291</v>
      </c>
      <c r="X8" s="8" t="s">
        <v>58</v>
      </c>
      <c r="Y8" s="161" t="s">
        <v>292</v>
      </c>
      <c r="Z8" s="166" t="s">
        <v>299</v>
      </c>
      <c r="AA8" s="161" t="s">
        <v>295</v>
      </c>
      <c r="AB8" s="167" t="s">
        <v>296</v>
      </c>
      <c r="AC8" s="162" t="s">
        <v>303</v>
      </c>
      <c r="AD8" s="169" t="s">
        <v>304</v>
      </c>
      <c r="AE8" s="6" t="s">
        <v>315</v>
      </c>
      <c r="AF8" s="6" t="s">
        <v>311</v>
      </c>
      <c r="AO8" s="8" t="s">
        <v>53</v>
      </c>
      <c r="AP8" s="17" t="s">
        <v>54</v>
      </c>
      <c r="AQ8" s="17" t="s">
        <v>55</v>
      </c>
      <c r="AR8" s="17" t="s">
        <v>54</v>
      </c>
      <c r="AS8" s="17" t="s">
        <v>55</v>
      </c>
      <c r="AT8" s="8" t="s">
        <v>58</v>
      </c>
      <c r="AU8" s="8" t="s">
        <v>59</v>
      </c>
      <c r="AV8" s="6" t="s">
        <v>60</v>
      </c>
      <c r="AW8" s="6" t="s">
        <v>61</v>
      </c>
      <c r="AX8" s="18" t="s">
        <v>62</v>
      </c>
      <c r="AY8" s="19" t="s">
        <v>60</v>
      </c>
      <c r="AZ8" s="19" t="s">
        <v>63</v>
      </c>
      <c r="BA8" s="8" t="s">
        <v>64</v>
      </c>
      <c r="BB8" s="8" t="s">
        <v>64</v>
      </c>
      <c r="BC8" s="8" t="s">
        <v>65</v>
      </c>
      <c r="BD8" s="8" t="s">
        <v>66</v>
      </c>
      <c r="BE8" s="8"/>
    </row>
    <row r="9" spans="1:57">
      <c r="B9" s="6" t="s">
        <v>68</v>
      </c>
      <c r="C9" s="35">
        <f>Drawing!B8</f>
        <v>1.1994883333333333E-2</v>
      </c>
      <c r="D9" s="6" t="s">
        <v>4</v>
      </c>
      <c r="E9" s="18">
        <v>28.01</v>
      </c>
      <c r="F9" s="18">
        <v>-297.33199999999999</v>
      </c>
      <c r="G9" s="6"/>
      <c r="H9" s="20">
        <v>-346</v>
      </c>
      <c r="I9" s="20">
        <v>493</v>
      </c>
      <c r="J9" s="20">
        <v>-232.7</v>
      </c>
      <c r="K9" s="19">
        <v>0.99997000000000003</v>
      </c>
      <c r="L9" s="19">
        <v>0.80940000000000001</v>
      </c>
      <c r="M9" s="18">
        <f>L9*$M$24</f>
        <v>6.7479677999999996</v>
      </c>
      <c r="N9" s="18">
        <f t="shared" ref="N9:N11" si="0">E9/M9</f>
        <v>4.1508793210305486</v>
      </c>
      <c r="O9" s="19">
        <v>0.55400000000000005</v>
      </c>
      <c r="P9" s="19">
        <f>13.102/O9</f>
        <v>23.649819494584836</v>
      </c>
      <c r="Q9" s="6">
        <v>0.24840000000000001</v>
      </c>
      <c r="R9" s="6"/>
      <c r="S9" s="6"/>
      <c r="T9" s="6"/>
      <c r="U9" s="6"/>
      <c r="V9" s="42">
        <v>470</v>
      </c>
      <c r="W9" s="163">
        <v>109</v>
      </c>
      <c r="X9" s="42">
        <f>V9*(1/W9-1/(Drawing!$L$35+460))</f>
        <v>3.4627208537918719</v>
      </c>
      <c r="Y9" s="42">
        <f>'Flash A'!L66</f>
        <v>176.6092045757741</v>
      </c>
      <c r="Z9" s="164">
        <f>'Flash A'!F14</f>
        <v>1.1938836913197854E-2</v>
      </c>
      <c r="AA9" s="164">
        <f>'Flash A'!I14</f>
        <v>6.7985257048677828E-5</v>
      </c>
      <c r="AB9" s="164">
        <f>'Flash A'!J14</f>
        <v>1.2006822170246531E-2</v>
      </c>
      <c r="AC9" s="19">
        <f>AA9*E9</f>
        <v>1.9042670499334661E-3</v>
      </c>
      <c r="AD9" s="19">
        <f>AB9*E9</f>
        <v>0.33631108898860534</v>
      </c>
      <c r="AE9" s="6">
        <f>AA9*$AL$2</f>
        <v>5.1976482372400236E-11</v>
      </c>
      <c r="AF9" s="6">
        <f>AB9*$AL$3</f>
        <v>4.5348415012341787</v>
      </c>
      <c r="AG9" s="6">
        <f>C9*$AL$6</f>
        <v>4.6008196537077799</v>
      </c>
      <c r="AO9" s="6">
        <f t="shared" ref="AO9:AO24" si="1">E9*$C9</f>
        <v>0.33597668216666665</v>
      </c>
      <c r="AP9" s="6">
        <f t="shared" ref="AP9:AP24" si="2">F9*$C9</f>
        <v>-3.5664626512666664</v>
      </c>
      <c r="AQ9" s="6">
        <f t="shared" ref="AQ9:AQ24" si="3">G9*$C9</f>
        <v>0</v>
      </c>
      <c r="AR9" s="6">
        <f t="shared" ref="AR9:AR24" si="4">H9*$C9</f>
        <v>-4.1502296333333328</v>
      </c>
      <c r="AS9" s="6">
        <f t="shared" ref="AS9:AS24" si="5">I9*$C9</f>
        <v>5.9134774833333328</v>
      </c>
      <c r="AT9" s="6">
        <f t="shared" ref="AT9:AT24" si="6">J9*$C9</f>
        <v>-2.7912093516666663</v>
      </c>
      <c r="AU9" s="6">
        <f t="shared" ref="AU9:AU24" si="7">K9*$C9</f>
        <v>1.1994523486833332E-2</v>
      </c>
      <c r="AV9" s="6">
        <f t="shared" ref="AV9:AV24" si="8">L9*$C9</f>
        <v>9.7086585699999988E-3</v>
      </c>
      <c r="AW9" s="6">
        <f t="shared" ref="AW9:AW24" si="9">M9*$C9</f>
        <v>8.0941086498089995E-2</v>
      </c>
      <c r="AX9" s="6">
        <f t="shared" ref="AX9:AX24" si="10">N9*$C9</f>
        <v>4.9789313186507304E-2</v>
      </c>
      <c r="AY9" s="6">
        <f t="shared" ref="AY9:AY24" si="11">O9*$C9</f>
        <v>6.6451653666666673E-3</v>
      </c>
      <c r="AZ9" s="6">
        <f t="shared" ref="AZ9:AZ24" si="12">P9*$C9</f>
        <v>0.28367682569193742</v>
      </c>
      <c r="BA9" s="6">
        <f t="shared" ref="BA9:BA24" si="13">Q9*$C9</f>
        <v>2.9795290199999998E-3</v>
      </c>
      <c r="BB9" s="6">
        <f t="shared" ref="BB9:BB24" si="14">R9*$C9</f>
        <v>0</v>
      </c>
      <c r="BC9" s="6">
        <f t="shared" ref="BC9:BC24" si="15">S9*$C9</f>
        <v>0</v>
      </c>
      <c r="BD9" s="6">
        <f t="shared" ref="BD9:BD24" si="16">T9*$C9</f>
        <v>0</v>
      </c>
      <c r="BE9" s="6">
        <f>AZ9*E9</f>
        <v>7.9457878876311678</v>
      </c>
    </row>
    <row r="10" spans="1:57">
      <c r="B10" s="6" t="s">
        <v>69</v>
      </c>
      <c r="C10" s="35">
        <f>Drawing!B9</f>
        <v>5.5579379999999991E-2</v>
      </c>
      <c r="D10" s="6" t="s">
        <v>70</v>
      </c>
      <c r="E10" s="18">
        <v>44.01</v>
      </c>
      <c r="F10" s="18">
        <v>-109.32</v>
      </c>
      <c r="G10" s="6"/>
      <c r="H10" s="20">
        <v>-69.77</v>
      </c>
      <c r="I10" s="20">
        <v>1071</v>
      </c>
      <c r="J10" s="20">
        <v>87.87</v>
      </c>
      <c r="K10" s="19">
        <v>0.99429999999999996</v>
      </c>
      <c r="L10" s="19">
        <v>0.81759999999999999</v>
      </c>
      <c r="M10" s="18">
        <f t="shared" ref="M10:M23" si="17">L10*$M$24</f>
        <v>6.8163311999999996</v>
      </c>
      <c r="N10" s="18">
        <f t="shared" si="0"/>
        <v>6.4565524632957976</v>
      </c>
      <c r="O10" s="19">
        <v>1.53</v>
      </c>
      <c r="P10" s="19">
        <f t="shared" ref="P10:P11" si="18">13.102/O10</f>
        <v>8.5633986928104573</v>
      </c>
      <c r="Q10" s="6">
        <v>0.19900000000000001</v>
      </c>
      <c r="R10" s="6"/>
      <c r="S10" s="6"/>
      <c r="T10" s="6"/>
      <c r="U10" s="6"/>
      <c r="V10" s="42">
        <v>652</v>
      </c>
      <c r="W10" s="163">
        <v>194</v>
      </c>
      <c r="X10" s="42">
        <f>V10*(1/W10-1/(Drawing!$L$35+460))</f>
        <v>2.1827776143601891</v>
      </c>
      <c r="Y10" s="42">
        <f>'Flash A'!L67</f>
        <v>15.297567220253301</v>
      </c>
      <c r="Z10" s="164">
        <f>'Flash A'!F15</f>
        <v>5.1994758952139487E-2</v>
      </c>
      <c r="AA10" s="164">
        <f>'Flash A'!I15</f>
        <v>3.6366158068126451E-3</v>
      </c>
      <c r="AB10" s="164">
        <f>'Flash A'!J15</f>
        <v>5.5631374758952128E-2</v>
      </c>
      <c r="AC10" s="19">
        <f t="shared" ref="AC10:AC24" si="19">AA10*E10</f>
        <v>0.16004746165782449</v>
      </c>
      <c r="AD10" s="19">
        <f t="shared" ref="AD10:AD24" si="20">AB10*E10</f>
        <v>2.4483368031414829</v>
      </c>
      <c r="AE10" s="6">
        <f t="shared" ref="AE10:AE24" si="21">AA10*$AL$2</f>
        <v>2.7802865736412705E-9</v>
      </c>
      <c r="AF10" s="6">
        <f t="shared" ref="AF10:AF24" si="22">AB10*$AL$3</f>
        <v>21.011343671997412</v>
      </c>
      <c r="AG10" s="6">
        <f t="shared" ref="AG10:AG24" si="23">C10*$AL$6</f>
        <v>21.318315213144473</v>
      </c>
      <c r="AO10" s="6">
        <f t="shared" si="1"/>
        <v>2.4460485137999997</v>
      </c>
      <c r="AP10" s="6">
        <f t="shared" si="2"/>
        <v>-6.0759378215999984</v>
      </c>
      <c r="AQ10" s="6">
        <f t="shared" si="3"/>
        <v>0</v>
      </c>
      <c r="AR10" s="6">
        <f t="shared" si="4"/>
        <v>-3.877773342599999</v>
      </c>
      <c r="AS10" s="6">
        <f t="shared" si="5"/>
        <v>59.525515979999987</v>
      </c>
      <c r="AT10" s="6">
        <f t="shared" si="6"/>
        <v>4.8837601205999999</v>
      </c>
      <c r="AU10" s="6">
        <f t="shared" si="7"/>
        <v>5.526257753399999E-2</v>
      </c>
      <c r="AV10" s="6">
        <f t="shared" si="8"/>
        <v>4.544170108799999E-2</v>
      </c>
      <c r="AW10" s="6">
        <f t="shared" si="9"/>
        <v>0.37884746197065594</v>
      </c>
      <c r="AX10" s="6">
        <f t="shared" si="10"/>
        <v>0.3588511828474531</v>
      </c>
      <c r="AY10" s="6">
        <f t="shared" si="11"/>
        <v>8.503645139999999E-2</v>
      </c>
      <c r="AZ10" s="6">
        <f t="shared" si="12"/>
        <v>0.47594839003921557</v>
      </c>
      <c r="BA10" s="6">
        <f t="shared" si="13"/>
        <v>1.1060296619999998E-2</v>
      </c>
      <c r="BB10" s="6">
        <f t="shared" si="14"/>
        <v>0</v>
      </c>
      <c r="BC10" s="6">
        <f t="shared" si="15"/>
        <v>0</v>
      </c>
      <c r="BD10" s="6">
        <f t="shared" si="16"/>
        <v>0</v>
      </c>
      <c r="BE10" s="6">
        <f t="shared" ref="BE10:BE24" si="24">AZ10*E10</f>
        <v>20.946488645625877</v>
      </c>
    </row>
    <row r="11" spans="1:57">
      <c r="B11" s="6" t="s">
        <v>71</v>
      </c>
      <c r="C11" s="35">
        <f>Drawing!B10</f>
        <v>9.9999999999999995E-7</v>
      </c>
      <c r="D11" s="6" t="s">
        <v>2</v>
      </c>
      <c r="E11" s="18">
        <v>34.076000000000001</v>
      </c>
      <c r="F11" s="18">
        <v>-76.56</v>
      </c>
      <c r="G11" s="6">
        <v>387.1</v>
      </c>
      <c r="H11" s="20">
        <v>-121.58</v>
      </c>
      <c r="I11" s="20">
        <v>1036</v>
      </c>
      <c r="J11" s="20">
        <v>212.6</v>
      </c>
      <c r="K11" s="19">
        <v>0.99029999999999996</v>
      </c>
      <c r="L11" s="19">
        <v>0.78710000000000002</v>
      </c>
      <c r="M11" s="18">
        <f t="shared" si="17"/>
        <v>6.5620526999999997</v>
      </c>
      <c r="N11" s="18">
        <f t="shared" si="0"/>
        <v>5.1928872805303747</v>
      </c>
      <c r="O11" s="19">
        <v>1.3</v>
      </c>
      <c r="P11" s="19">
        <f t="shared" si="18"/>
        <v>10.078461538461537</v>
      </c>
      <c r="Q11" s="6">
        <v>0.2379</v>
      </c>
      <c r="R11" s="6">
        <v>0.49680000000000002</v>
      </c>
      <c r="S11" s="6">
        <v>637</v>
      </c>
      <c r="T11" s="6"/>
      <c r="U11" s="6"/>
      <c r="V11" s="42">
        <v>1136</v>
      </c>
      <c r="W11" s="163">
        <v>331</v>
      </c>
      <c r="X11" s="42">
        <f>V11*(1/W11-1/(Drawing!$L$35+460))</f>
        <v>1.3794757990871735</v>
      </c>
      <c r="Y11" s="42">
        <f>'Flash A'!L68</f>
        <v>3.8369569428135692</v>
      </c>
      <c r="Z11" s="164">
        <f>'Flash A'!F16</f>
        <v>7.3992388169074904E-7</v>
      </c>
      <c r="AA11" s="164">
        <f>'Flash A'!I16</f>
        <v>2.6081604219094173E-7</v>
      </c>
      <c r="AB11" s="164">
        <f>'Flash A'!J16</f>
        <v>1.0007399238816907E-6</v>
      </c>
      <c r="AC11" s="19">
        <f t="shared" si="19"/>
        <v>8.8875674536985301E-6</v>
      </c>
      <c r="AD11" s="19">
        <f t="shared" si="20"/>
        <v>3.4101213646192491E-5</v>
      </c>
      <c r="AE11" s="6">
        <f t="shared" si="21"/>
        <v>1.9940059077323618E-13</v>
      </c>
      <c r="AF11" s="6">
        <f t="shared" si="22"/>
        <v>3.7796819794720448E-4</v>
      </c>
      <c r="AG11" s="6">
        <f t="shared" si="23"/>
        <v>3.8356518574234684E-4</v>
      </c>
      <c r="AO11" s="6">
        <f t="shared" si="1"/>
        <v>3.4075999999999997E-5</v>
      </c>
      <c r="AP11" s="6">
        <f t="shared" si="2"/>
        <v>-7.6559999999999999E-5</v>
      </c>
      <c r="AQ11" s="6">
        <f t="shared" si="3"/>
        <v>3.8710000000000003E-4</v>
      </c>
      <c r="AR11" s="6">
        <f t="shared" si="4"/>
        <v>-1.2158E-4</v>
      </c>
      <c r="AS11" s="6">
        <f t="shared" si="5"/>
        <v>1.036E-3</v>
      </c>
      <c r="AT11" s="6">
        <f t="shared" si="6"/>
        <v>2.1259999999999999E-4</v>
      </c>
      <c r="AU11" s="6">
        <f t="shared" si="7"/>
        <v>9.9029999999999986E-7</v>
      </c>
      <c r="AV11" s="6">
        <f t="shared" si="8"/>
        <v>7.8709999999999995E-7</v>
      </c>
      <c r="AW11" s="6">
        <f t="shared" si="9"/>
        <v>6.5620526999999993E-6</v>
      </c>
      <c r="AX11" s="6">
        <f t="shared" si="10"/>
        <v>5.1928872805303742E-6</v>
      </c>
      <c r="AY11" s="6">
        <f t="shared" si="11"/>
        <v>1.3E-6</v>
      </c>
      <c r="AZ11" s="6">
        <f t="shared" si="12"/>
        <v>1.0078461538461537E-5</v>
      </c>
      <c r="BA11" s="6">
        <f t="shared" si="13"/>
        <v>2.3789999999999998E-7</v>
      </c>
      <c r="BB11" s="6">
        <f t="shared" si="14"/>
        <v>4.9679999999999995E-7</v>
      </c>
      <c r="BC11" s="6">
        <f t="shared" si="15"/>
        <v>6.3699999999999998E-4</v>
      </c>
      <c r="BD11" s="6">
        <f t="shared" si="16"/>
        <v>0</v>
      </c>
      <c r="BE11" s="6">
        <f t="shared" si="24"/>
        <v>3.4343365538461531E-4</v>
      </c>
    </row>
    <row r="12" spans="1:57">
      <c r="B12" s="6" t="s">
        <v>72</v>
      </c>
      <c r="C12" s="35">
        <f>Drawing!B11</f>
        <v>0.7483542133333333</v>
      </c>
      <c r="D12" s="6" t="s">
        <v>73</v>
      </c>
      <c r="E12" s="18">
        <v>16.042999999999999</v>
      </c>
      <c r="F12" s="18">
        <v>-258.7</v>
      </c>
      <c r="G12" s="6">
        <v>5000</v>
      </c>
      <c r="H12" s="20">
        <v>-296.5</v>
      </c>
      <c r="I12" s="20">
        <v>667.8</v>
      </c>
      <c r="J12" s="20">
        <v>-116.68</v>
      </c>
      <c r="K12" s="19">
        <v>0.99809999999999999</v>
      </c>
      <c r="L12" s="19">
        <v>0.3</v>
      </c>
      <c r="M12" s="18">
        <f t="shared" si="17"/>
        <v>2.5010999999999997</v>
      </c>
      <c r="N12" s="18">
        <f>E12/M12</f>
        <v>6.4143776738235179</v>
      </c>
      <c r="O12" s="19">
        <v>0.55389999999999995</v>
      </c>
      <c r="P12" s="19">
        <f>13.102/O12</f>
        <v>23.654089185773607</v>
      </c>
      <c r="Q12" s="6">
        <v>0.52659999999999996</v>
      </c>
      <c r="R12" s="6"/>
      <c r="S12" s="6">
        <v>1009.7</v>
      </c>
      <c r="T12" s="6"/>
      <c r="U12" s="6"/>
      <c r="V12" s="42">
        <v>300</v>
      </c>
      <c r="W12" s="163">
        <v>94</v>
      </c>
      <c r="X12" s="42">
        <f>V12*(1/W12-1/(Drawing!$L$35+460))</f>
        <v>2.6494431372046496</v>
      </c>
      <c r="Y12" s="42">
        <f>'Flash A'!L69</f>
        <v>70.026795163818804</v>
      </c>
      <c r="Z12" s="164">
        <f>'Flash A'!F17</f>
        <v>0.73839538050338627</v>
      </c>
      <c r="AA12" s="164">
        <f>'Flash A'!I17</f>
        <v>1.0697228210450434E-2</v>
      </c>
      <c r="AB12" s="164">
        <f>'Flash A'!J17</f>
        <v>0.74909260871383654</v>
      </c>
      <c r="AC12" s="19">
        <f t="shared" si="19"/>
        <v>0.1716156321802563</v>
      </c>
      <c r="AD12" s="19">
        <f t="shared" si="20"/>
        <v>12.017692721596079</v>
      </c>
      <c r="AE12" s="6">
        <f t="shared" si="21"/>
        <v>8.1783068513798116E-9</v>
      </c>
      <c r="AF12" s="6">
        <f t="shared" si="22"/>
        <v>282.92384130425847</v>
      </c>
      <c r="AG12" s="6">
        <f t="shared" si="23"/>
        <v>287.04262283826785</v>
      </c>
      <c r="AO12" s="6">
        <f t="shared" si="1"/>
        <v>12.005846644506665</v>
      </c>
      <c r="AP12" s="6">
        <f t="shared" si="2"/>
        <v>-193.59923498933333</v>
      </c>
      <c r="AQ12" s="6">
        <f t="shared" si="3"/>
        <v>3741.7710666666667</v>
      </c>
      <c r="AR12" s="6">
        <f t="shared" si="4"/>
        <v>-221.88702425333332</v>
      </c>
      <c r="AS12" s="6">
        <f t="shared" si="5"/>
        <v>499.75094366399992</v>
      </c>
      <c r="AT12" s="6">
        <f t="shared" si="6"/>
        <v>-87.317969611733332</v>
      </c>
      <c r="AU12" s="6">
        <f t="shared" si="7"/>
        <v>0.74693234032799993</v>
      </c>
      <c r="AV12" s="6">
        <f t="shared" si="8"/>
        <v>0.22450626399999998</v>
      </c>
      <c r="AW12" s="6">
        <f t="shared" si="9"/>
        <v>1.8717087229679996</v>
      </c>
      <c r="AX12" s="6">
        <f t="shared" si="10"/>
        <v>4.8002265581170951</v>
      </c>
      <c r="AY12" s="6">
        <f t="shared" si="11"/>
        <v>0.41451339876533327</v>
      </c>
      <c r="AZ12" s="6">
        <f t="shared" si="12"/>
        <v>17.701637304736114</v>
      </c>
      <c r="BA12" s="6">
        <f t="shared" si="13"/>
        <v>0.39408332874133328</v>
      </c>
      <c r="BB12" s="6">
        <f t="shared" si="14"/>
        <v>0</v>
      </c>
      <c r="BC12" s="6">
        <f t="shared" si="15"/>
        <v>755.61324920266668</v>
      </c>
      <c r="BD12" s="6">
        <f t="shared" si="16"/>
        <v>0</v>
      </c>
      <c r="BE12" s="6">
        <f t="shared" si="24"/>
        <v>283.98736727988148</v>
      </c>
    </row>
    <row r="13" spans="1:57">
      <c r="B13" s="6" t="s">
        <v>74</v>
      </c>
      <c r="C13" s="35">
        <f>Drawing!B12</f>
        <v>0.10365652333333332</v>
      </c>
      <c r="D13" s="6" t="s">
        <v>75</v>
      </c>
      <c r="E13" s="18">
        <v>30.7</v>
      </c>
      <c r="F13" s="18">
        <v>-127.44</v>
      </c>
      <c r="G13" s="6">
        <v>800</v>
      </c>
      <c r="H13" s="20">
        <v>-297.04000000000002</v>
      </c>
      <c r="I13" s="20">
        <v>707.8</v>
      </c>
      <c r="J13" s="20">
        <v>90.1</v>
      </c>
      <c r="K13" s="19">
        <v>0.99609999999999999</v>
      </c>
      <c r="L13" s="19">
        <v>0.35630000000000001</v>
      </c>
      <c r="M13" s="18">
        <f t="shared" si="17"/>
        <v>2.9704731</v>
      </c>
      <c r="N13" s="18">
        <f t="shared" ref="N13:N24" si="25">E13/M13</f>
        <v>10.335054035668595</v>
      </c>
      <c r="O13" s="19">
        <v>1.0382</v>
      </c>
      <c r="P13" s="19">
        <f t="shared" ref="P13:P25" si="26">13.102/O13</f>
        <v>12.619919090733962</v>
      </c>
      <c r="Q13" s="6">
        <v>0.40799999999999997</v>
      </c>
      <c r="R13" s="6">
        <v>0.92559999999999998</v>
      </c>
      <c r="S13" s="6">
        <v>1768</v>
      </c>
      <c r="T13" s="6">
        <v>65889</v>
      </c>
      <c r="U13" s="18">
        <f>N13*C13/0.3795</f>
        <v>2.8229137544124967</v>
      </c>
      <c r="V13" s="42">
        <v>1145</v>
      </c>
      <c r="W13" s="163">
        <v>303</v>
      </c>
      <c r="X13" s="42">
        <f>V13*(1/W13-1/(Drawing!$L$35+460))</f>
        <v>1.710068130956738</v>
      </c>
      <c r="Y13" s="42">
        <f>'Flash A'!L70</f>
        <v>9.8094540489307995</v>
      </c>
      <c r="Z13" s="164">
        <f>'Flash A'!F18</f>
        <v>9.3173195939968659E-2</v>
      </c>
      <c r="AA13" s="164">
        <f>'Flash A'!I18</f>
        <v>1.057650058930463E-2</v>
      </c>
      <c r="AB13" s="164">
        <f>'Flash A'!J18</f>
        <v>0.10374969652927329</v>
      </c>
      <c r="AC13" s="19">
        <f t="shared" si="19"/>
        <v>0.32469856809165215</v>
      </c>
      <c r="AD13" s="19">
        <f t="shared" si="20"/>
        <v>3.1851156834486902</v>
      </c>
      <c r="AE13" s="6">
        <f t="shared" si="21"/>
        <v>8.0860074714149205E-9</v>
      </c>
      <c r="AF13" s="6">
        <f t="shared" si="22"/>
        <v>39.185091849473096</v>
      </c>
      <c r="AG13" s="6">
        <f t="shared" si="23"/>
        <v>39.759033625755904</v>
      </c>
      <c r="AO13" s="6">
        <f t="shared" si="1"/>
        <v>3.1822552663333328</v>
      </c>
      <c r="AP13" s="6">
        <f t="shared" si="2"/>
        <v>-13.209987333599997</v>
      </c>
      <c r="AQ13" s="6">
        <f t="shared" si="3"/>
        <v>82.925218666666652</v>
      </c>
      <c r="AR13" s="6">
        <f t="shared" si="4"/>
        <v>-30.790133690933331</v>
      </c>
      <c r="AS13" s="6">
        <f t="shared" si="5"/>
        <v>73.368087215333318</v>
      </c>
      <c r="AT13" s="6">
        <f t="shared" si="6"/>
        <v>9.3394527523333313</v>
      </c>
      <c r="AU13" s="6">
        <f t="shared" si="7"/>
        <v>0.10325226289233332</v>
      </c>
      <c r="AV13" s="6">
        <f t="shared" si="8"/>
        <v>3.6932819263666664E-2</v>
      </c>
      <c r="AW13" s="6">
        <f t="shared" si="9"/>
        <v>0.30790891420118893</v>
      </c>
      <c r="AX13" s="6">
        <f t="shared" si="10"/>
        <v>1.0712957697995424</v>
      </c>
      <c r="AY13" s="6">
        <f t="shared" si="11"/>
        <v>0.10761620252466665</v>
      </c>
      <c r="AZ13" s="6">
        <f t="shared" si="12"/>
        <v>1.3081369376934435</v>
      </c>
      <c r="BA13" s="6">
        <f t="shared" si="13"/>
        <v>4.2291861519999994E-2</v>
      </c>
      <c r="BB13" s="6">
        <f t="shared" si="14"/>
        <v>9.5944477997333313E-2</v>
      </c>
      <c r="BC13" s="6">
        <f t="shared" si="15"/>
        <v>183.2647332533333</v>
      </c>
      <c r="BD13" s="6">
        <f t="shared" si="16"/>
        <v>6829.8246659099987</v>
      </c>
      <c r="BE13" s="6">
        <f t="shared" si="24"/>
        <v>40.159803987188717</v>
      </c>
    </row>
    <row r="14" spans="1:57">
      <c r="B14" s="6" t="s">
        <v>76</v>
      </c>
      <c r="C14" s="35">
        <f>Drawing!B13</f>
        <v>4.9144E-2</v>
      </c>
      <c r="D14" s="6" t="s">
        <v>77</v>
      </c>
      <c r="E14" s="18">
        <v>44.097000000000001</v>
      </c>
      <c r="F14" s="18">
        <v>-43.73</v>
      </c>
      <c r="G14" s="6">
        <v>188</v>
      </c>
      <c r="H14" s="20">
        <v>-305.82</v>
      </c>
      <c r="I14" s="20">
        <v>616.29999999999995</v>
      </c>
      <c r="J14" s="20">
        <v>206.1</v>
      </c>
      <c r="K14" s="19">
        <v>0.98080000000000001</v>
      </c>
      <c r="L14" s="19">
        <v>0.50749999999999995</v>
      </c>
      <c r="M14" s="18">
        <f t="shared" si="17"/>
        <v>4.2310274999999997</v>
      </c>
      <c r="N14" s="18">
        <f t="shared" si="25"/>
        <v>10.422291039233379</v>
      </c>
      <c r="O14" s="19">
        <v>1.5225</v>
      </c>
      <c r="P14" s="19">
        <f t="shared" si="26"/>
        <v>8.6055829228243024</v>
      </c>
      <c r="Q14" s="6">
        <v>0.38869999999999999</v>
      </c>
      <c r="R14" s="6">
        <v>0.59019999999999995</v>
      </c>
      <c r="S14" s="6">
        <v>2517</v>
      </c>
      <c r="T14" s="6">
        <v>90962</v>
      </c>
      <c r="U14" s="18">
        <f t="shared" ref="U14:U23" si="27">N14*C14/0.3795</f>
        <v>1.3496523605588542</v>
      </c>
      <c r="V14" s="42">
        <v>1799</v>
      </c>
      <c r="W14" s="163">
        <v>416</v>
      </c>
      <c r="X14" s="42">
        <f>V14*(1/W14-1/(Drawing!$L$35+460))</f>
        <v>1.0740487045326881</v>
      </c>
      <c r="Y14" s="42">
        <f>'Flash A'!L71</f>
        <v>2.3363135830450839</v>
      </c>
      <c r="Z14" s="164">
        <f>'Flash A'!F19</f>
        <v>2.8125239411987031E-2</v>
      </c>
      <c r="AA14" s="164">
        <f>'Flash A'!I19</f>
        <v>2.1046885827424953E-2</v>
      </c>
      <c r="AB14" s="164">
        <f>'Flash A'!J19</f>
        <v>4.9172125239411987E-2</v>
      </c>
      <c r="AC14" s="19">
        <f t="shared" si="19"/>
        <v>0.92810452433195811</v>
      </c>
      <c r="AD14" s="19">
        <f t="shared" si="20"/>
        <v>2.1683432066823505</v>
      </c>
      <c r="AE14" s="6">
        <f t="shared" si="21"/>
        <v>1.6090887020105021E-8</v>
      </c>
      <c r="AF14" s="6">
        <f t="shared" si="22"/>
        <v>18.571757878795303</v>
      </c>
      <c r="AG14" s="6">
        <f t="shared" si="23"/>
        <v>18.849927488121892</v>
      </c>
      <c r="AO14" s="6">
        <f t="shared" si="1"/>
        <v>2.167102968</v>
      </c>
      <c r="AP14" s="6">
        <f t="shared" si="2"/>
        <v>-2.1490671199999998</v>
      </c>
      <c r="AQ14" s="6">
        <f t="shared" si="3"/>
        <v>9.2390720000000002</v>
      </c>
      <c r="AR14" s="6">
        <f t="shared" si="4"/>
        <v>-15.02921808</v>
      </c>
      <c r="AS14" s="6">
        <f t="shared" si="5"/>
        <v>30.287447199999999</v>
      </c>
      <c r="AT14" s="6">
        <f t="shared" si="6"/>
        <v>10.1285784</v>
      </c>
      <c r="AU14" s="6">
        <f t="shared" si="7"/>
        <v>4.8200435200000002E-2</v>
      </c>
      <c r="AV14" s="6">
        <f t="shared" si="8"/>
        <v>2.4940579999999997E-2</v>
      </c>
      <c r="AW14" s="6">
        <f t="shared" si="9"/>
        <v>0.20792961545999999</v>
      </c>
      <c r="AX14" s="6">
        <f t="shared" si="10"/>
        <v>0.51219307083208521</v>
      </c>
      <c r="AY14" s="6">
        <f t="shared" si="11"/>
        <v>7.4821739999999998E-2</v>
      </c>
      <c r="AZ14" s="6">
        <f t="shared" si="12"/>
        <v>0.4229127671592775</v>
      </c>
      <c r="BA14" s="6">
        <f t="shared" si="13"/>
        <v>1.91022728E-2</v>
      </c>
      <c r="BB14" s="6">
        <f t="shared" si="14"/>
        <v>2.9004788799999997E-2</v>
      </c>
      <c r="BC14" s="6">
        <f t="shared" si="15"/>
        <v>123.695448</v>
      </c>
      <c r="BD14" s="6">
        <f t="shared" si="16"/>
        <v>4470.2365280000004</v>
      </c>
      <c r="BE14" s="6">
        <f t="shared" si="24"/>
        <v>18.64918429342266</v>
      </c>
    </row>
    <row r="15" spans="1:57">
      <c r="B15" s="6" t="s">
        <v>78</v>
      </c>
      <c r="C15" s="35">
        <f>Drawing!B14</f>
        <v>6.4696433333333329E-3</v>
      </c>
      <c r="D15" s="6" t="s">
        <v>79</v>
      </c>
      <c r="E15" s="18">
        <v>58.124000000000002</v>
      </c>
      <c r="F15" s="18">
        <v>10.74</v>
      </c>
      <c r="G15" s="6">
        <v>72.39</v>
      </c>
      <c r="H15" s="20">
        <v>-255.28</v>
      </c>
      <c r="I15" s="20">
        <v>529.1</v>
      </c>
      <c r="J15" s="20">
        <v>274.95999999999998</v>
      </c>
      <c r="K15" s="19">
        <v>0.96609999999999996</v>
      </c>
      <c r="L15" s="19">
        <v>0.56299999999999994</v>
      </c>
      <c r="M15" s="18">
        <f t="shared" si="17"/>
        <v>4.6937309999999997</v>
      </c>
      <c r="N15" s="18">
        <f t="shared" si="25"/>
        <v>12.383325759401211</v>
      </c>
      <c r="O15" s="19">
        <v>2.0068000000000001</v>
      </c>
      <c r="P15" s="19">
        <f t="shared" si="26"/>
        <v>6.5288020729519634</v>
      </c>
      <c r="Q15" s="6">
        <v>0.38669999999999999</v>
      </c>
      <c r="R15" s="6">
        <v>0.56599999999999995</v>
      </c>
      <c r="S15" s="6">
        <v>3252</v>
      </c>
      <c r="T15" s="6">
        <v>98968</v>
      </c>
      <c r="U15" s="18">
        <f t="shared" si="27"/>
        <v>0.21110856638683789</v>
      </c>
      <c r="V15" s="42">
        <v>2037</v>
      </c>
      <c r="W15" s="163">
        <v>471</v>
      </c>
      <c r="X15" s="42">
        <f>V15*(1/W15-1/(Drawing!$L$35+460))</f>
        <v>0.64434689999333472</v>
      </c>
      <c r="Y15" s="42">
        <f>'Flash A'!L72</f>
        <v>0.87787127127767339</v>
      </c>
      <c r="Z15" s="164">
        <f>'Flash A'!F20</f>
        <v>-8.9992625864968902E-4</v>
      </c>
      <c r="AA15" s="164">
        <f>'Flash A'!I20</f>
        <v>7.3686696657243728E-3</v>
      </c>
      <c r="AB15" s="164">
        <f>'Flash A'!J20</f>
        <v>6.4687434070746837E-3</v>
      </c>
      <c r="AC15" s="19">
        <f t="shared" si="19"/>
        <v>0.42829655565056346</v>
      </c>
      <c r="AD15" s="19">
        <f t="shared" si="20"/>
        <v>0.37598924179280896</v>
      </c>
      <c r="AE15" s="6">
        <f t="shared" si="21"/>
        <v>5.6335379994861944E-9</v>
      </c>
      <c r="AF15" s="6">
        <f t="shared" si="22"/>
        <v>2.443171527594544</v>
      </c>
      <c r="AG15" s="6">
        <f t="shared" si="23"/>
        <v>2.4815299468367358</v>
      </c>
      <c r="AO15" s="6">
        <f t="shared" si="1"/>
        <v>0.37604154910666665</v>
      </c>
      <c r="AP15" s="6">
        <f t="shared" si="2"/>
        <v>6.9483969399999998E-2</v>
      </c>
      <c r="AQ15" s="6">
        <f t="shared" si="3"/>
        <v>0.46833748089999999</v>
      </c>
      <c r="AR15" s="6">
        <f t="shared" si="4"/>
        <v>-1.6515705501333333</v>
      </c>
      <c r="AS15" s="6">
        <f t="shared" si="5"/>
        <v>3.4230882876666664</v>
      </c>
      <c r="AT15" s="6">
        <f t="shared" si="6"/>
        <v>1.7788931309333331</v>
      </c>
      <c r="AU15" s="6">
        <f t="shared" si="7"/>
        <v>6.2503224243333324E-3</v>
      </c>
      <c r="AV15" s="6">
        <f t="shared" si="8"/>
        <v>3.6424091966666661E-3</v>
      </c>
      <c r="AW15" s="6">
        <f t="shared" si="9"/>
        <v>3.0366765472609997E-2</v>
      </c>
      <c r="AX15" s="6">
        <f t="shared" si="10"/>
        <v>8.0115700943804977E-2</v>
      </c>
      <c r="AY15" s="6">
        <f t="shared" si="11"/>
        <v>1.2983280241333333E-2</v>
      </c>
      <c r="AZ15" s="6">
        <f t="shared" si="12"/>
        <v>4.2239020805926515E-2</v>
      </c>
      <c r="BA15" s="6">
        <f t="shared" si="13"/>
        <v>2.5018110769999997E-3</v>
      </c>
      <c r="BB15" s="6">
        <f t="shared" si="14"/>
        <v>3.6618181266666661E-3</v>
      </c>
      <c r="BC15" s="6">
        <f t="shared" si="15"/>
        <v>21.039280119999997</v>
      </c>
      <c r="BD15" s="6">
        <f t="shared" si="16"/>
        <v>640.28766141333324</v>
      </c>
      <c r="BE15" s="6">
        <f t="shared" si="24"/>
        <v>2.4551008453236727</v>
      </c>
    </row>
    <row r="16" spans="1:57">
      <c r="B16" s="6" t="s">
        <v>80</v>
      </c>
      <c r="C16" s="35">
        <f>Drawing!B15</f>
        <v>1.4280399999999999E-2</v>
      </c>
      <c r="D16" s="6" t="s">
        <v>79</v>
      </c>
      <c r="E16" s="18">
        <v>58.124000000000002</v>
      </c>
      <c r="F16" s="18">
        <v>31.12</v>
      </c>
      <c r="G16" s="6">
        <v>51.54</v>
      </c>
      <c r="H16" s="20">
        <v>-217.05</v>
      </c>
      <c r="I16" s="20">
        <v>550.70000000000005</v>
      </c>
      <c r="J16" s="20">
        <v>305.62</v>
      </c>
      <c r="K16" s="19">
        <v>0.93669999999999998</v>
      </c>
      <c r="L16" s="19">
        <v>0.58430000000000004</v>
      </c>
      <c r="M16" s="18">
        <f t="shared" si="17"/>
        <v>4.8713091000000004</v>
      </c>
      <c r="N16" s="18">
        <f t="shared" si="25"/>
        <v>11.931905532334213</v>
      </c>
      <c r="O16" s="19">
        <v>2.0068000000000001</v>
      </c>
      <c r="P16" s="19">
        <f t="shared" si="26"/>
        <v>6.5288020729519634</v>
      </c>
      <c r="Q16" s="6">
        <v>0.39510000000000001</v>
      </c>
      <c r="R16" s="6">
        <v>0.56599999999999995</v>
      </c>
      <c r="S16" s="6">
        <v>3262</v>
      </c>
      <c r="T16" s="6">
        <v>102918</v>
      </c>
      <c r="U16" s="18">
        <f t="shared" si="27"/>
        <v>0.44899178857429634</v>
      </c>
      <c r="V16" s="42">
        <v>2153</v>
      </c>
      <c r="W16" s="163">
        <v>491</v>
      </c>
      <c r="X16" s="42">
        <f>V16*(1/W16-1/(Drawing!$L$35+460))</f>
        <v>0.49484364576070972</v>
      </c>
      <c r="Y16" s="42">
        <f>'Flash A'!L73</f>
        <v>0.6211593139738989</v>
      </c>
      <c r="Z16" s="164">
        <f>'Flash A'!F21</f>
        <v>-8.7042066398758996E-3</v>
      </c>
      <c r="AA16" s="164">
        <f>'Flash A'!I21</f>
        <v>2.2975902433236023E-2</v>
      </c>
      <c r="AB16" s="164">
        <f>'Flash A'!J21</f>
        <v>1.4271695793360122E-2</v>
      </c>
      <c r="AC16" s="19">
        <f t="shared" si="19"/>
        <v>1.3354513530294105</v>
      </c>
      <c r="AD16" s="19">
        <f t="shared" si="20"/>
        <v>0.82952804629326371</v>
      </c>
      <c r="AE16" s="6">
        <f t="shared" si="21"/>
        <v>1.7565669965122307E-8</v>
      </c>
      <c r="AF16" s="6">
        <f t="shared" si="22"/>
        <v>5.3902587594823901</v>
      </c>
      <c r="AG16" s="6">
        <f t="shared" si="23"/>
        <v>5.4774642784750096</v>
      </c>
      <c r="AO16" s="6">
        <f t="shared" si="1"/>
        <v>0.83003396959999998</v>
      </c>
      <c r="AP16" s="6">
        <f t="shared" si="2"/>
        <v>0.444406048</v>
      </c>
      <c r="AQ16" s="6">
        <f t="shared" si="3"/>
        <v>0.73601181599999987</v>
      </c>
      <c r="AR16" s="6">
        <f t="shared" si="4"/>
        <v>-3.0995608199999998</v>
      </c>
      <c r="AS16" s="6">
        <f t="shared" si="5"/>
        <v>7.8642162799999999</v>
      </c>
      <c r="AT16" s="6">
        <f t="shared" si="6"/>
        <v>4.3643758479999999</v>
      </c>
      <c r="AU16" s="6">
        <f t="shared" si="7"/>
        <v>1.3376450679999999E-2</v>
      </c>
      <c r="AV16" s="6">
        <f t="shared" si="8"/>
        <v>8.3440377199999992E-3</v>
      </c>
      <c r="AW16" s="6">
        <f t="shared" si="9"/>
        <v>6.9564242471640003E-2</v>
      </c>
      <c r="AX16" s="6">
        <f t="shared" si="10"/>
        <v>0.17039238376394547</v>
      </c>
      <c r="AY16" s="6">
        <f t="shared" si="11"/>
        <v>2.8657906720000001E-2</v>
      </c>
      <c r="AZ16" s="6">
        <f t="shared" si="12"/>
        <v>9.3233905122583213E-2</v>
      </c>
      <c r="BA16" s="6">
        <f t="shared" si="13"/>
        <v>5.6421860399999994E-3</v>
      </c>
      <c r="BB16" s="6">
        <f t="shared" si="14"/>
        <v>8.0827063999999987E-3</v>
      </c>
      <c r="BC16" s="6">
        <f t="shared" si="15"/>
        <v>46.582664799999996</v>
      </c>
      <c r="BD16" s="6">
        <f t="shared" si="16"/>
        <v>1469.7102071999998</v>
      </c>
      <c r="BE16" s="6">
        <f t="shared" si="24"/>
        <v>5.4191275013450273</v>
      </c>
    </row>
    <row r="17" spans="1:57">
      <c r="B17" s="6" t="s">
        <v>81</v>
      </c>
      <c r="C17" s="35">
        <f>Drawing!B16</f>
        <v>3.3084933333333336E-3</v>
      </c>
      <c r="D17" s="6" t="s">
        <v>82</v>
      </c>
      <c r="E17" s="18">
        <v>72.150999999999996</v>
      </c>
      <c r="F17" s="18">
        <v>82.11</v>
      </c>
      <c r="G17" s="6">
        <v>20.443999999999999</v>
      </c>
      <c r="H17" s="20">
        <v>-255.82</v>
      </c>
      <c r="I17" s="20">
        <v>490.4</v>
      </c>
      <c r="J17" s="20">
        <v>369.03</v>
      </c>
      <c r="K17" s="19">
        <v>0.94799999999999995</v>
      </c>
      <c r="L17" s="19">
        <v>0.62439999999999996</v>
      </c>
      <c r="M17" s="18">
        <f t="shared" si="17"/>
        <v>5.2056227999999996</v>
      </c>
      <c r="N17" s="18">
        <f t="shared" si="25"/>
        <v>13.860205161234502</v>
      </c>
      <c r="O17" s="19">
        <v>2.4910999999999999</v>
      </c>
      <c r="P17" s="19">
        <f t="shared" si="26"/>
        <v>5.2595239051021645</v>
      </c>
      <c r="Q17" s="6">
        <v>0.38290000000000002</v>
      </c>
      <c r="R17" s="6">
        <v>0.5353</v>
      </c>
      <c r="S17" s="6">
        <v>4000</v>
      </c>
      <c r="T17" s="6">
        <v>108722</v>
      </c>
      <c r="U17" s="18">
        <f t="shared" si="27"/>
        <v>0.12083371903709253</v>
      </c>
      <c r="V17" s="42">
        <v>2368</v>
      </c>
      <c r="W17" s="163">
        <v>542</v>
      </c>
      <c r="X17" s="42">
        <f>V17*(1/W17-1/(Drawing!$L$35+460))</f>
        <v>9.0452158003474184E-2</v>
      </c>
      <c r="Y17" s="42">
        <f>'Flash A'!L74</f>
        <v>0.24945520188516151</v>
      </c>
      <c r="Z17" s="164">
        <f>'Flash A'!F22</f>
        <v>-9.9245220937082927E-3</v>
      </c>
      <c r="AA17" s="164">
        <f>'Flash A'!I22</f>
        <v>1.3223090904947917E-2</v>
      </c>
      <c r="AB17" s="164">
        <f>'Flash A'!J22</f>
        <v>3.2985688112396258E-3</v>
      </c>
      <c r="AC17" s="19">
        <f t="shared" si="19"/>
        <v>0.9540592318828971</v>
      </c>
      <c r="AD17" s="19">
        <f t="shared" si="20"/>
        <v>0.23799503829975022</v>
      </c>
      <c r="AE17" s="6">
        <f t="shared" si="21"/>
        <v>1.0109394024024473E-8</v>
      </c>
      <c r="AF17" s="6">
        <f t="shared" si="22"/>
        <v>1.2458322883263797</v>
      </c>
      <c r="AG17" s="6">
        <f t="shared" si="23"/>
        <v>1.2690228599273163</v>
      </c>
      <c r="AO17" s="6">
        <f t="shared" si="1"/>
        <v>0.23871110249333335</v>
      </c>
      <c r="AP17" s="6">
        <f t="shared" si="2"/>
        <v>0.2716603876</v>
      </c>
      <c r="AQ17" s="6">
        <f t="shared" si="3"/>
        <v>6.7638837706666663E-2</v>
      </c>
      <c r="AR17" s="6">
        <f t="shared" si="4"/>
        <v>-0.84637876453333338</v>
      </c>
      <c r="AS17" s="6">
        <f t="shared" si="5"/>
        <v>1.6224851306666668</v>
      </c>
      <c r="AT17" s="6">
        <f t="shared" si="6"/>
        <v>1.2209332948</v>
      </c>
      <c r="AU17" s="6">
        <f t="shared" si="7"/>
        <v>3.1364516800000001E-3</v>
      </c>
      <c r="AV17" s="6">
        <f t="shared" si="8"/>
        <v>2.0658232373333332E-3</v>
      </c>
      <c r="AW17" s="6">
        <f t="shared" si="9"/>
        <v>1.7222768329647999E-2</v>
      </c>
      <c r="AX17" s="6">
        <f t="shared" si="10"/>
        <v>4.5856396374576613E-2</v>
      </c>
      <c r="AY17" s="6">
        <f t="shared" si="11"/>
        <v>8.2417877426666664E-3</v>
      </c>
      <c r="AZ17" s="6">
        <f t="shared" si="12"/>
        <v>1.7401099776537813E-2</v>
      </c>
      <c r="BA17" s="6">
        <f t="shared" si="13"/>
        <v>1.2668220973333336E-3</v>
      </c>
      <c r="BB17" s="6">
        <f t="shared" si="14"/>
        <v>1.7710364813333336E-3</v>
      </c>
      <c r="BC17" s="6">
        <f t="shared" si="15"/>
        <v>13.233973333333335</v>
      </c>
      <c r="BD17" s="6">
        <f t="shared" si="16"/>
        <v>359.70601218666667</v>
      </c>
      <c r="BE17" s="6">
        <f t="shared" si="24"/>
        <v>1.2555067499769796</v>
      </c>
    </row>
    <row r="18" spans="1:57">
      <c r="B18" s="6" t="s">
        <v>83</v>
      </c>
      <c r="C18" s="35">
        <f>Drawing!B17</f>
        <v>3.4617033333333332E-3</v>
      </c>
      <c r="D18" s="6" t="s">
        <v>82</v>
      </c>
      <c r="E18" s="18">
        <v>72.150999999999996</v>
      </c>
      <c r="F18" s="18">
        <v>96.91</v>
      </c>
      <c r="G18" s="6">
        <v>15.574999999999999</v>
      </c>
      <c r="H18" s="20">
        <v>-201.51</v>
      </c>
      <c r="I18" s="20">
        <v>488.6</v>
      </c>
      <c r="J18" s="20">
        <v>385.6</v>
      </c>
      <c r="K18" s="19">
        <v>0.94199999999999995</v>
      </c>
      <c r="L18" s="19">
        <v>0.63109999999999999</v>
      </c>
      <c r="M18" s="18">
        <f t="shared" si="17"/>
        <v>5.2614806999999999</v>
      </c>
      <c r="N18" s="18">
        <f t="shared" si="25"/>
        <v>13.713059899659044</v>
      </c>
      <c r="O18" s="19">
        <v>2.4910999999999999</v>
      </c>
      <c r="P18" s="19">
        <f t="shared" si="26"/>
        <v>5.2595239051021645</v>
      </c>
      <c r="Q18" s="6">
        <v>0.39900000000000002</v>
      </c>
      <c r="R18" s="6">
        <v>0.54800000000000004</v>
      </c>
      <c r="S18" s="6">
        <v>4008</v>
      </c>
      <c r="T18" s="6">
        <v>110071</v>
      </c>
      <c r="U18" s="18">
        <f t="shared" si="27"/>
        <v>0.12508707553319992</v>
      </c>
      <c r="V18" s="42">
        <v>2480</v>
      </c>
      <c r="W18" s="163">
        <v>557</v>
      </c>
      <c r="X18" s="42">
        <f>V18*(1/W18-1/(Drawing!$L$35+460))</f>
        <v>-2.8491757461616592E-2</v>
      </c>
      <c r="Y18" s="42">
        <f>'Flash A'!L75</f>
        <v>0.1866307163381844</v>
      </c>
      <c r="Z18" s="164">
        <f>'Flash A'!F23</f>
        <v>-1.5021243007706268E-2</v>
      </c>
      <c r="AA18" s="164">
        <f>'Flash A'!I23</f>
        <v>1.8467925098031895E-2</v>
      </c>
      <c r="AB18" s="164">
        <f>'Flash A'!J23</f>
        <v>3.4466820903256267E-3</v>
      </c>
      <c r="AC18" s="19">
        <f t="shared" si="19"/>
        <v>1.3324792637480991</v>
      </c>
      <c r="AD18" s="19">
        <f t="shared" si="20"/>
        <v>0.24868155949908427</v>
      </c>
      <c r="AE18" s="6">
        <f t="shared" si="21"/>
        <v>1.4119205030369605E-8</v>
      </c>
      <c r="AF18" s="6">
        <f t="shared" si="22"/>
        <v>1.3017730056418664</v>
      </c>
      <c r="AG18" s="6">
        <f t="shared" si="23"/>
        <v>1.3277888820349011</v>
      </c>
      <c r="AO18" s="6">
        <f t="shared" si="1"/>
        <v>0.24976535720333332</v>
      </c>
      <c r="AP18" s="6">
        <f t="shared" si="2"/>
        <v>0.33547367003333328</v>
      </c>
      <c r="AQ18" s="6">
        <f t="shared" si="3"/>
        <v>5.3916029416666664E-2</v>
      </c>
      <c r="AR18" s="6">
        <f t="shared" si="4"/>
        <v>-0.69756783869999994</v>
      </c>
      <c r="AS18" s="6">
        <f t="shared" si="5"/>
        <v>1.6913882486666667</v>
      </c>
      <c r="AT18" s="6">
        <f t="shared" si="6"/>
        <v>1.3348328053333334</v>
      </c>
      <c r="AU18" s="6">
        <f t="shared" si="7"/>
        <v>3.2609245399999997E-3</v>
      </c>
      <c r="AV18" s="6">
        <f t="shared" si="8"/>
        <v>2.1846809736666664E-3</v>
      </c>
      <c r="AW18" s="6">
        <f t="shared" si="9"/>
        <v>1.8213685277458997E-2</v>
      </c>
      <c r="AX18" s="6">
        <f t="shared" si="10"/>
        <v>4.7470545164849373E-2</v>
      </c>
      <c r="AY18" s="6">
        <f t="shared" si="11"/>
        <v>8.6234491736666662E-3</v>
      </c>
      <c r="AZ18" s="6">
        <f t="shared" si="12"/>
        <v>1.8206911434038513E-2</v>
      </c>
      <c r="BA18" s="6">
        <f t="shared" si="13"/>
        <v>1.38121963E-3</v>
      </c>
      <c r="BB18" s="6">
        <f t="shared" si="14"/>
        <v>1.8970134266666668E-3</v>
      </c>
      <c r="BC18" s="6">
        <f t="shared" si="15"/>
        <v>13.87450696</v>
      </c>
      <c r="BD18" s="6">
        <f t="shared" si="16"/>
        <v>381.0331476033333</v>
      </c>
      <c r="BE18" s="6">
        <f t="shared" si="24"/>
        <v>1.3136468668773127</v>
      </c>
    </row>
    <row r="19" spans="1:57">
      <c r="B19" s="6" t="s">
        <v>84</v>
      </c>
      <c r="C19" s="35">
        <f>Drawing!B18</f>
        <v>3.0104900000000306E-3</v>
      </c>
      <c r="D19" s="6" t="s">
        <v>85</v>
      </c>
      <c r="E19" s="18">
        <v>86.177999999999997</v>
      </c>
      <c r="F19" s="18">
        <v>155.72999999999999</v>
      </c>
      <c r="G19" s="6">
        <v>4.96</v>
      </c>
      <c r="H19" s="20">
        <v>-139.58000000000001</v>
      </c>
      <c r="I19" s="20">
        <v>710.4</v>
      </c>
      <c r="J19" s="20">
        <v>453.6</v>
      </c>
      <c r="K19" s="19">
        <v>0.91</v>
      </c>
      <c r="L19" s="19">
        <v>0.66400000000000003</v>
      </c>
      <c r="M19" s="18">
        <f t="shared" si="17"/>
        <v>5.535768</v>
      </c>
      <c r="N19" s="18">
        <f t="shared" si="25"/>
        <v>15.567487654829465</v>
      </c>
      <c r="O19" s="19">
        <v>2.9752999999999998</v>
      </c>
      <c r="P19" s="19">
        <f t="shared" si="26"/>
        <v>4.4035895539945553</v>
      </c>
      <c r="Q19" s="6">
        <v>0.38569999999999999</v>
      </c>
      <c r="R19" s="6">
        <v>0.53320000000000001</v>
      </c>
      <c r="S19" s="6">
        <v>4756</v>
      </c>
      <c r="T19" s="6">
        <v>115055</v>
      </c>
      <c r="U19" s="18">
        <f t="shared" si="27"/>
        <v>0.12349345430826886</v>
      </c>
      <c r="V19" s="42">
        <v>2738</v>
      </c>
      <c r="W19" s="163">
        <v>610</v>
      </c>
      <c r="X19" s="42">
        <f>V19*(1/W19-1/(Drawing!$L$35+460))</f>
        <v>-0.45855061874971448</v>
      </c>
      <c r="Y19" s="42">
        <f>'Flash A'!L76</f>
        <v>6.1955475612116583E-2</v>
      </c>
      <c r="Z19" s="164">
        <f>'Flash A'!F24</f>
        <v>-5.5461891780385825E-2</v>
      </c>
      <c r="AA19" s="164">
        <f>'Flash A'!I24</f>
        <v>5.9125009888605411E-2</v>
      </c>
      <c r="AB19" s="164">
        <f>'Flash A'!J24</f>
        <v>3.6631181082196441E-3</v>
      </c>
      <c r="AC19" s="19">
        <f t="shared" si="19"/>
        <v>5.0952751021802367</v>
      </c>
      <c r="AD19" s="19">
        <f t="shared" si="20"/>
        <v>0.31568019233015249</v>
      </c>
      <c r="AE19" s="6">
        <f t="shared" si="21"/>
        <v>4.5202594910286569E-8</v>
      </c>
      <c r="AF19" s="6">
        <f t="shared" si="22"/>
        <v>1.3835184518882397</v>
      </c>
      <c r="AG19" s="6">
        <f t="shared" si="23"/>
        <v>1.1547191560254895</v>
      </c>
      <c r="AO19" s="6">
        <f t="shared" si="1"/>
        <v>0.25943800722000265</v>
      </c>
      <c r="AP19" s="6">
        <f t="shared" si="2"/>
        <v>0.46882360770000475</v>
      </c>
      <c r="AQ19" s="6">
        <f t="shared" si="3"/>
        <v>1.4932030400000152E-2</v>
      </c>
      <c r="AR19" s="6">
        <f t="shared" si="4"/>
        <v>-0.42020419420000432</v>
      </c>
      <c r="AS19" s="6">
        <f t="shared" si="5"/>
        <v>2.1386520960000217</v>
      </c>
      <c r="AT19" s="6">
        <f t="shared" si="6"/>
        <v>1.3655582640000139</v>
      </c>
      <c r="AU19" s="6">
        <f t="shared" si="7"/>
        <v>2.739545900000028E-3</v>
      </c>
      <c r="AV19" s="6">
        <f t="shared" si="8"/>
        <v>1.9989653600000204E-3</v>
      </c>
      <c r="AW19" s="6">
        <f t="shared" si="9"/>
        <v>1.6665374206320169E-2</v>
      </c>
      <c r="AX19" s="6">
        <f t="shared" si="10"/>
        <v>4.6865765909988033E-2</v>
      </c>
      <c r="AY19" s="6">
        <f t="shared" si="11"/>
        <v>8.9571108970000913E-3</v>
      </c>
      <c r="AZ19" s="6">
        <f t="shared" si="12"/>
        <v>1.3256962316405203E-2</v>
      </c>
      <c r="BA19" s="6">
        <f t="shared" si="13"/>
        <v>1.1611459930000118E-3</v>
      </c>
      <c r="BB19" s="6">
        <f t="shared" si="14"/>
        <v>1.6051932680000163E-3</v>
      </c>
      <c r="BC19" s="6">
        <f t="shared" si="15"/>
        <v>14.317890440000145</v>
      </c>
      <c r="BD19" s="6">
        <f t="shared" si="16"/>
        <v>346.37192695000351</v>
      </c>
      <c r="BE19" s="6">
        <f t="shared" si="24"/>
        <v>1.1424584985031676</v>
      </c>
    </row>
    <row r="20" spans="1:57">
      <c r="B20" s="6" t="s">
        <v>86</v>
      </c>
      <c r="C20" s="35">
        <f>Drawing!B19</f>
        <v>4.9864333333333327E-4</v>
      </c>
      <c r="D20" s="6" t="s">
        <v>87</v>
      </c>
      <c r="E20" s="18">
        <v>78.114000000000004</v>
      </c>
      <c r="F20" s="18">
        <v>176.16</v>
      </c>
      <c r="G20" s="6">
        <v>3.2250000000000001</v>
      </c>
      <c r="H20" s="20">
        <v>41.96</v>
      </c>
      <c r="I20" s="20">
        <v>710.4</v>
      </c>
      <c r="J20" s="20">
        <v>552.22</v>
      </c>
      <c r="K20" s="19">
        <v>0.92900000000000005</v>
      </c>
      <c r="L20" s="19">
        <v>0.88449999999999995</v>
      </c>
      <c r="M20" s="18">
        <f t="shared" si="17"/>
        <v>7.3740764999999993</v>
      </c>
      <c r="N20" s="18">
        <f t="shared" si="25"/>
        <v>10.593055279532292</v>
      </c>
      <c r="O20" s="19">
        <v>2.6968999999999999</v>
      </c>
      <c r="P20" s="19">
        <f t="shared" si="26"/>
        <v>4.8581704920464244</v>
      </c>
      <c r="Q20" s="6">
        <v>0.2422</v>
      </c>
      <c r="R20" s="6">
        <v>0.4098</v>
      </c>
      <c r="S20" s="6">
        <v>3741</v>
      </c>
      <c r="T20" s="6">
        <v>132651</v>
      </c>
      <c r="U20" s="18">
        <f t="shared" si="27"/>
        <v>1.3918725677918964E-2</v>
      </c>
      <c r="V20" s="47">
        <v>2800</v>
      </c>
      <c r="W20" s="163">
        <v>619</v>
      </c>
      <c r="X20" s="42">
        <f>V20*(1/W20-1/(Drawing!$L$35+460))</f>
        <v>-0.5356732164729604</v>
      </c>
      <c r="Y20" s="42">
        <f>'Flash A'!L77</f>
        <v>8.1489669409547344E-4</v>
      </c>
      <c r="Z20" s="164">
        <f>'Flash A'!F25</f>
        <v>-1.7724546197664944E-2</v>
      </c>
      <c r="AA20" s="164">
        <f>'Flash A'!I25</f>
        <v>1.7739001651467391E-2</v>
      </c>
      <c r="AB20" s="164">
        <f>'Flash A'!J25</f>
        <v>1.4455453802334921E-5</v>
      </c>
      <c r="AC20" s="19">
        <f t="shared" si="19"/>
        <v>1.3856643750027238</v>
      </c>
      <c r="AD20" s="19">
        <f t="shared" si="20"/>
        <v>1.1291733183155901E-3</v>
      </c>
      <c r="AE20" s="6">
        <f t="shared" si="21"/>
        <v>1.3561924256332641E-8</v>
      </c>
      <c r="AF20" s="6">
        <f t="shared" si="22"/>
        <v>5.459662089811382E-3</v>
      </c>
      <c r="AG20" s="6">
        <f t="shared" si="23"/>
        <v>0.19126222276918295</v>
      </c>
      <c r="AO20" s="6">
        <f t="shared" si="1"/>
        <v>3.8951025340000001E-2</v>
      </c>
      <c r="AP20" s="6">
        <f t="shared" si="2"/>
        <v>8.7841009599999992E-2</v>
      </c>
      <c r="AQ20" s="6">
        <f t="shared" si="3"/>
        <v>1.6081247499999999E-3</v>
      </c>
      <c r="AR20" s="6">
        <f t="shared" si="4"/>
        <v>2.0923074266666664E-2</v>
      </c>
      <c r="AS20" s="6">
        <f t="shared" si="5"/>
        <v>0.35423622399999993</v>
      </c>
      <c r="AT20" s="6">
        <f t="shared" si="6"/>
        <v>0.2753608215333333</v>
      </c>
      <c r="AU20" s="6">
        <f t="shared" si="7"/>
        <v>4.6323965666666663E-4</v>
      </c>
      <c r="AV20" s="6">
        <f t="shared" si="8"/>
        <v>4.4105002833333325E-4</v>
      </c>
      <c r="AW20" s="6">
        <f t="shared" si="9"/>
        <v>3.6770340862149991E-3</v>
      </c>
      <c r="AX20" s="6">
        <f t="shared" si="10"/>
        <v>5.2821563947702465E-3</v>
      </c>
      <c r="AY20" s="6">
        <f t="shared" si="11"/>
        <v>1.3447912056666663E-3</v>
      </c>
      <c r="AZ20" s="6">
        <f t="shared" si="12"/>
        <v>2.4224943280556689E-3</v>
      </c>
      <c r="BA20" s="6">
        <f t="shared" si="13"/>
        <v>1.2077141533333332E-4</v>
      </c>
      <c r="BB20" s="6">
        <f t="shared" si="14"/>
        <v>2.0434403799999998E-4</v>
      </c>
      <c r="BC20" s="6">
        <f t="shared" si="15"/>
        <v>1.8654247099999997</v>
      </c>
      <c r="BD20" s="6">
        <f t="shared" si="16"/>
        <v>66.145536809999996</v>
      </c>
      <c r="BE20" s="6">
        <f t="shared" si="24"/>
        <v>0.18923072194174054</v>
      </c>
    </row>
    <row r="21" spans="1:57">
      <c r="B21" s="6" t="s">
        <v>88</v>
      </c>
      <c r="C21" s="35">
        <f>Drawing!B20</f>
        <v>2.0944666666666668E-4</v>
      </c>
      <c r="D21" s="6" t="s">
        <v>89</v>
      </c>
      <c r="E21" s="18">
        <v>92.141000000000005</v>
      </c>
      <c r="F21" s="18">
        <v>231.13</v>
      </c>
      <c r="G21" s="6">
        <v>1.0029999999999999</v>
      </c>
      <c r="H21" s="20">
        <v>-138.97999999999999</v>
      </c>
      <c r="I21" s="20">
        <v>595.5</v>
      </c>
      <c r="J21" s="20">
        <v>605.57000000000005</v>
      </c>
      <c r="K21" s="19">
        <v>0.90300000000000002</v>
      </c>
      <c r="L21" s="19">
        <v>0.87190000000000001</v>
      </c>
      <c r="M21" s="18">
        <f t="shared" si="17"/>
        <v>7.2690302999999998</v>
      </c>
      <c r="N21" s="18">
        <f t="shared" si="25"/>
        <v>12.675831052733404</v>
      </c>
      <c r="O21" s="19">
        <v>3.1812</v>
      </c>
      <c r="P21" s="19">
        <f t="shared" si="26"/>
        <v>4.118571608198164</v>
      </c>
      <c r="Q21" s="6">
        <v>0.25979999999999998</v>
      </c>
      <c r="R21" s="6">
        <v>0.40089999999999998</v>
      </c>
      <c r="S21" s="6">
        <v>4475</v>
      </c>
      <c r="T21" s="6">
        <v>132659</v>
      </c>
      <c r="U21" s="18">
        <f t="shared" si="27"/>
        <v>6.9958117555331649E-3</v>
      </c>
      <c r="V21" s="6">
        <v>3000</v>
      </c>
      <c r="W21" s="61">
        <v>800</v>
      </c>
      <c r="X21" s="42">
        <f>V21*(1/W21-1/(Drawing!$L$35+460))</f>
        <v>-1.6704622449747795</v>
      </c>
      <c r="Y21" s="42">
        <f>'Flash A'!L78</f>
        <v>0</v>
      </c>
      <c r="Z21" s="164">
        <v>0</v>
      </c>
      <c r="AA21" s="164">
        <v>0</v>
      </c>
      <c r="AB21" s="164">
        <v>0</v>
      </c>
      <c r="AC21" s="19">
        <f t="shared" si="19"/>
        <v>0</v>
      </c>
      <c r="AD21" s="19">
        <f t="shared" si="20"/>
        <v>0</v>
      </c>
      <c r="AE21" s="6">
        <f t="shared" si="21"/>
        <v>0</v>
      </c>
      <c r="AF21" s="6">
        <f t="shared" si="22"/>
        <v>0</v>
      </c>
      <c r="AG21" s="6">
        <f t="shared" si="23"/>
        <v>8.0336449603115409E-2</v>
      </c>
      <c r="AO21" s="6">
        <f t="shared" si="1"/>
        <v>1.9298625313333335E-2</v>
      </c>
      <c r="AP21" s="6">
        <f t="shared" si="2"/>
        <v>4.8409408066666666E-2</v>
      </c>
      <c r="AQ21" s="6">
        <f t="shared" si="3"/>
        <v>2.1007500666666665E-4</v>
      </c>
      <c r="AR21" s="6">
        <f t="shared" si="4"/>
        <v>-2.9108897733333333E-2</v>
      </c>
      <c r="AS21" s="6">
        <f t="shared" si="5"/>
        <v>0.12472549000000001</v>
      </c>
      <c r="AT21" s="6">
        <f t="shared" si="6"/>
        <v>0.12683461793333337</v>
      </c>
      <c r="AU21" s="6">
        <f t="shared" si="7"/>
        <v>1.8913034000000002E-4</v>
      </c>
      <c r="AV21" s="6">
        <f t="shared" si="8"/>
        <v>1.8261654866666668E-4</v>
      </c>
      <c r="AW21" s="6">
        <f t="shared" si="9"/>
        <v>1.5224741662340001E-3</v>
      </c>
      <c r="AX21" s="6">
        <f t="shared" si="10"/>
        <v>2.654910561224836E-3</v>
      </c>
      <c r="AY21" s="6">
        <f t="shared" si="11"/>
        <v>6.6629173600000005E-4</v>
      </c>
      <c r="AZ21" s="6">
        <f t="shared" si="12"/>
        <v>8.6262109476507821E-4</v>
      </c>
      <c r="BA21" s="6">
        <f t="shared" si="13"/>
        <v>5.4414243999999999E-5</v>
      </c>
      <c r="BB21" s="6">
        <f t="shared" si="14"/>
        <v>8.396716866666667E-5</v>
      </c>
      <c r="BC21" s="6">
        <f t="shared" si="15"/>
        <v>0.93727383333333336</v>
      </c>
      <c r="BD21" s="6">
        <f t="shared" si="16"/>
        <v>27.784985353333337</v>
      </c>
      <c r="BE21" s="6">
        <f t="shared" si="24"/>
        <v>7.9482770292749069E-2</v>
      </c>
    </row>
    <row r="22" spans="1:57">
      <c r="B22" s="6" t="s">
        <v>90</v>
      </c>
      <c r="C22" s="35">
        <f>Drawing!B21</f>
        <v>7.3000000000000004E-6</v>
      </c>
      <c r="D22" s="6" t="s">
        <v>91</v>
      </c>
      <c r="E22" s="18">
        <v>106.16800000000001</v>
      </c>
      <c r="F22" s="18">
        <v>277.16000000000003</v>
      </c>
      <c r="G22" s="6">
        <v>0.37159999999999999</v>
      </c>
      <c r="H22" s="20">
        <v>-138.96</v>
      </c>
      <c r="I22" s="20">
        <v>523.4</v>
      </c>
      <c r="J22" s="20">
        <v>651.29</v>
      </c>
      <c r="K22" s="19"/>
      <c r="L22" s="19">
        <v>0.87170000000000003</v>
      </c>
      <c r="M22" s="18">
        <f t="shared" si="17"/>
        <v>7.2673629000000002</v>
      </c>
      <c r="N22" s="18">
        <f t="shared" si="25"/>
        <v>14.608875524848223</v>
      </c>
      <c r="O22" s="19">
        <v>3.6655000000000002</v>
      </c>
      <c r="P22" s="19">
        <f t="shared" si="26"/>
        <v>3.5744100395580412</v>
      </c>
      <c r="Q22" s="6">
        <v>0.27950000000000003</v>
      </c>
      <c r="R22" s="6">
        <v>0.4113</v>
      </c>
      <c r="S22" s="6">
        <v>5222</v>
      </c>
      <c r="T22" s="6">
        <v>134381</v>
      </c>
      <c r="U22" s="18">
        <f t="shared" si="27"/>
        <v>2.810139429022188E-4</v>
      </c>
      <c r="V22" s="6">
        <v>4200</v>
      </c>
      <c r="W22" s="61">
        <v>850</v>
      </c>
      <c r="X22" s="42">
        <f>V22*(1/W22-1/(Drawing!$L$35+460))</f>
        <v>-2.6474706723764565</v>
      </c>
      <c r="Y22" s="42">
        <f>'Flash A'!L79</f>
        <v>0</v>
      </c>
      <c r="Z22" s="164">
        <f>'Flash A'!F27</f>
        <v>0</v>
      </c>
      <c r="AA22" s="164">
        <f>'Flash A'!I27</f>
        <v>0</v>
      </c>
      <c r="AB22" s="164">
        <f>'Flash A'!J27</f>
        <v>0</v>
      </c>
      <c r="AC22" s="19">
        <f t="shared" si="19"/>
        <v>0</v>
      </c>
      <c r="AD22" s="19">
        <f t="shared" si="20"/>
        <v>0</v>
      </c>
      <c r="AE22" s="6">
        <f t="shared" si="21"/>
        <v>0</v>
      </c>
      <c r="AF22" s="6">
        <f t="shared" si="22"/>
        <v>0</v>
      </c>
      <c r="AG22" s="6">
        <f t="shared" si="23"/>
        <v>2.8000258559191323E-3</v>
      </c>
      <c r="AO22" s="6">
        <f t="shared" si="1"/>
        <v>7.7502640000000008E-4</v>
      </c>
      <c r="AP22" s="6">
        <f t="shared" si="2"/>
        <v>2.0232680000000004E-3</v>
      </c>
      <c r="AQ22" s="6">
        <f t="shared" si="3"/>
        <v>2.7126800000000002E-6</v>
      </c>
      <c r="AR22" s="6">
        <f t="shared" si="4"/>
        <v>-1.0144080000000001E-3</v>
      </c>
      <c r="AS22" s="6">
        <f t="shared" si="5"/>
        <v>3.8208199999999999E-3</v>
      </c>
      <c r="AT22" s="6">
        <f t="shared" si="6"/>
        <v>4.7544170000000004E-3</v>
      </c>
      <c r="AU22" s="6">
        <f t="shared" si="7"/>
        <v>0</v>
      </c>
      <c r="AV22" s="6">
        <f t="shared" si="8"/>
        <v>6.3634100000000006E-6</v>
      </c>
      <c r="AW22" s="6">
        <f t="shared" si="9"/>
        <v>5.3051749170000007E-5</v>
      </c>
      <c r="AX22" s="6">
        <f t="shared" si="10"/>
        <v>1.0664479133139203E-4</v>
      </c>
      <c r="AY22" s="6">
        <f t="shared" si="11"/>
        <v>2.6758150000000004E-5</v>
      </c>
      <c r="AZ22" s="6">
        <f t="shared" si="12"/>
        <v>2.6093193288773702E-5</v>
      </c>
      <c r="BA22" s="6">
        <f t="shared" si="13"/>
        <v>2.0403500000000003E-6</v>
      </c>
      <c r="BB22" s="6">
        <f t="shared" si="14"/>
        <v>3.0024900000000002E-6</v>
      </c>
      <c r="BC22" s="6">
        <f t="shared" si="15"/>
        <v>3.8120600000000004E-2</v>
      </c>
      <c r="BD22" s="6">
        <f t="shared" si="16"/>
        <v>0.98098130000000006</v>
      </c>
      <c r="BE22" s="6">
        <f t="shared" si="24"/>
        <v>2.7702621450825266E-3</v>
      </c>
    </row>
    <row r="23" spans="1:57">
      <c r="B23" s="6" t="s">
        <v>92</v>
      </c>
      <c r="C23" s="35">
        <f>Drawing!B22</f>
        <v>2.4879999999999996E-5</v>
      </c>
      <c r="D23" s="6" t="s">
        <v>93</v>
      </c>
      <c r="E23" s="18">
        <v>106.16800000000001</v>
      </c>
      <c r="F23" s="18">
        <v>291.97000000000003</v>
      </c>
      <c r="G23" s="6">
        <v>0.26429999999999998</v>
      </c>
      <c r="H23" s="20">
        <v>-13.32</v>
      </c>
      <c r="I23" s="20">
        <v>541.6</v>
      </c>
      <c r="J23" s="20">
        <v>674.92</v>
      </c>
      <c r="K23" s="19"/>
      <c r="L23" s="19">
        <v>0.88470000000000004</v>
      </c>
      <c r="M23" s="18">
        <f t="shared" si="17"/>
        <v>7.3757438999999998</v>
      </c>
      <c r="N23" s="18">
        <f t="shared" si="25"/>
        <v>14.394209104792807</v>
      </c>
      <c r="O23" s="19">
        <v>3.6655000000000002</v>
      </c>
      <c r="P23" s="19">
        <f t="shared" si="26"/>
        <v>3.5744100395580412</v>
      </c>
      <c r="Q23" s="6">
        <v>0.29139999999999999</v>
      </c>
      <c r="R23" s="6">
        <v>0.41610000000000003</v>
      </c>
      <c r="S23" s="6">
        <v>5209</v>
      </c>
      <c r="T23" s="6">
        <v>136036</v>
      </c>
      <c r="U23" s="18">
        <f t="shared" si="27"/>
        <v>9.4368359032212122E-4</v>
      </c>
      <c r="V23" s="6">
        <v>4200</v>
      </c>
      <c r="W23" s="61">
        <v>880</v>
      </c>
      <c r="X23" s="42">
        <f>V23*(1/W23-1/(Drawing!$L$35+460))</f>
        <v>-2.8159198702374191</v>
      </c>
      <c r="Y23" s="42">
        <f>'Flash A'!L80</f>
        <v>0</v>
      </c>
      <c r="Z23" s="164">
        <f>'Flash A'!F28</f>
        <v>0</v>
      </c>
      <c r="AA23" s="164">
        <f>'Flash A'!I28</f>
        <v>0</v>
      </c>
      <c r="AB23" s="164">
        <f>'Flash A'!J28</f>
        <v>0</v>
      </c>
      <c r="AC23" s="19">
        <f t="shared" si="19"/>
        <v>0</v>
      </c>
      <c r="AD23" s="19">
        <f t="shared" si="20"/>
        <v>0</v>
      </c>
      <c r="AE23" s="6">
        <f t="shared" si="21"/>
        <v>0</v>
      </c>
      <c r="AF23" s="6">
        <f t="shared" si="22"/>
        <v>0</v>
      </c>
      <c r="AG23" s="6">
        <f t="shared" si="23"/>
        <v>9.5431018212695871E-3</v>
      </c>
      <c r="AO23" s="6">
        <f t="shared" si="1"/>
        <v>2.6414598399999998E-3</v>
      </c>
      <c r="AP23" s="6">
        <f t="shared" si="2"/>
        <v>7.2642135999999996E-3</v>
      </c>
      <c r="AQ23" s="6">
        <f t="shared" si="3"/>
        <v>6.5757839999999985E-6</v>
      </c>
      <c r="AR23" s="6">
        <f t="shared" si="4"/>
        <v>-3.3140159999999993E-4</v>
      </c>
      <c r="AS23" s="6">
        <f t="shared" si="5"/>
        <v>1.3475007999999998E-2</v>
      </c>
      <c r="AT23" s="6">
        <f t="shared" si="6"/>
        <v>1.6792009599999998E-2</v>
      </c>
      <c r="AU23" s="6">
        <f t="shared" si="7"/>
        <v>0</v>
      </c>
      <c r="AV23" s="6">
        <f t="shared" si="8"/>
        <v>2.2011335999999996E-5</v>
      </c>
      <c r="AW23" s="6">
        <f t="shared" si="9"/>
        <v>1.8350850823199997E-4</v>
      </c>
      <c r="AX23" s="6">
        <f t="shared" si="10"/>
        <v>3.5812792252724499E-4</v>
      </c>
      <c r="AY23" s="6">
        <f t="shared" si="11"/>
        <v>9.1197639999999992E-5</v>
      </c>
      <c r="AZ23" s="6">
        <f t="shared" si="12"/>
        <v>8.8931321784204052E-5</v>
      </c>
      <c r="BA23" s="6">
        <f t="shared" si="13"/>
        <v>7.2500319999999984E-6</v>
      </c>
      <c r="BB23" s="6">
        <f t="shared" si="14"/>
        <v>1.0352567999999999E-5</v>
      </c>
      <c r="BC23" s="6">
        <f t="shared" si="15"/>
        <v>0.12959991999999998</v>
      </c>
      <c r="BD23" s="6">
        <f t="shared" si="16"/>
        <v>3.3845756799999993</v>
      </c>
      <c r="BE23" s="6">
        <f t="shared" si="24"/>
        <v>9.4416605711853761E-3</v>
      </c>
    </row>
    <row r="24" spans="1:57">
      <c r="B24" s="6" t="s">
        <v>1</v>
      </c>
      <c r="C24" s="35">
        <f>Drawing!B23</f>
        <v>2.4879999999999996E-5</v>
      </c>
      <c r="D24" s="6" t="s">
        <v>94</v>
      </c>
      <c r="E24" s="18">
        <v>18.015000000000001</v>
      </c>
      <c r="F24" s="18">
        <v>212</v>
      </c>
      <c r="G24" s="6">
        <v>0.94950000000000001</v>
      </c>
      <c r="H24" s="20">
        <v>32</v>
      </c>
      <c r="I24" s="20">
        <v>3207.9</v>
      </c>
      <c r="J24" s="20">
        <v>705.5</v>
      </c>
      <c r="K24" s="19">
        <v>0.34339999999999998</v>
      </c>
      <c r="L24" s="19">
        <v>1</v>
      </c>
      <c r="M24" s="18">
        <v>8.3369999999999997</v>
      </c>
      <c r="N24" s="18">
        <f t="shared" si="25"/>
        <v>2.1608492263404102</v>
      </c>
      <c r="O24" s="19">
        <v>0.62180000000000002</v>
      </c>
      <c r="P24" s="19">
        <f t="shared" si="26"/>
        <v>21.071083949823095</v>
      </c>
      <c r="Q24" s="6">
        <v>0.44469999999999998</v>
      </c>
      <c r="R24" s="6">
        <v>1.0009999999999999</v>
      </c>
      <c r="S24" s="6">
        <v>49</v>
      </c>
      <c r="T24" s="6">
        <v>0</v>
      </c>
      <c r="U24" s="18"/>
      <c r="V24" s="6">
        <v>2000</v>
      </c>
      <c r="W24" s="61">
        <v>400</v>
      </c>
      <c r="X24" s="42">
        <f>V24*(1/W24-1/(Drawing!$L$35+460))</f>
        <v>1.3863585033501471</v>
      </c>
      <c r="Y24" s="42">
        <v>0.01</v>
      </c>
      <c r="Z24" s="164">
        <v>0</v>
      </c>
      <c r="AA24" s="164">
        <v>0</v>
      </c>
      <c r="AB24" s="164">
        <f t="shared" ref="AB21:AB24" si="28">AA24*Y24</f>
        <v>0</v>
      </c>
      <c r="AC24" s="19">
        <f t="shared" si="19"/>
        <v>0</v>
      </c>
      <c r="AD24" s="19">
        <f t="shared" si="20"/>
        <v>0</v>
      </c>
      <c r="AE24" s="6">
        <f t="shared" si="21"/>
        <v>0</v>
      </c>
      <c r="AF24" s="6">
        <f t="shared" si="22"/>
        <v>0</v>
      </c>
      <c r="AG24" s="6">
        <f t="shared" si="23"/>
        <v>9.5431018212695871E-3</v>
      </c>
      <c r="AO24" s="6">
        <f t="shared" si="1"/>
        <v>4.4821319999999995E-4</v>
      </c>
      <c r="AP24" s="6">
        <f t="shared" si="2"/>
        <v>5.2745599999999993E-3</v>
      </c>
      <c r="AQ24" s="6">
        <f t="shared" si="3"/>
        <v>2.3623559999999996E-5</v>
      </c>
      <c r="AR24" s="6">
        <f t="shared" si="4"/>
        <v>7.9615999999999986E-4</v>
      </c>
      <c r="AS24" s="6">
        <f t="shared" si="5"/>
        <v>7.9812551999999995E-2</v>
      </c>
      <c r="AT24" s="6">
        <f t="shared" si="6"/>
        <v>1.7552839999999997E-2</v>
      </c>
      <c r="AU24" s="6">
        <f t="shared" si="7"/>
        <v>8.5437919999999975E-6</v>
      </c>
      <c r="AV24" s="6">
        <f t="shared" si="8"/>
        <v>2.4879999999999996E-5</v>
      </c>
      <c r="AW24" s="6">
        <f t="shared" si="9"/>
        <v>2.0742455999999996E-4</v>
      </c>
      <c r="AX24" s="6">
        <f t="shared" si="10"/>
        <v>5.3761928751349396E-5</v>
      </c>
      <c r="AY24" s="6">
        <f t="shared" si="11"/>
        <v>1.5470383999999996E-5</v>
      </c>
      <c r="AZ24" s="6">
        <f t="shared" si="12"/>
        <v>5.2424856867159847E-4</v>
      </c>
      <c r="BA24" s="6">
        <f t="shared" si="13"/>
        <v>1.1064135999999998E-5</v>
      </c>
      <c r="BB24" s="6">
        <f t="shared" si="14"/>
        <v>2.4904879999999991E-5</v>
      </c>
      <c r="BC24" s="6">
        <f t="shared" si="15"/>
        <v>1.2191199999999998E-3</v>
      </c>
      <c r="BD24" s="6">
        <f t="shared" si="16"/>
        <v>0</v>
      </c>
      <c r="BE24" s="6">
        <f t="shared" si="24"/>
        <v>9.4443379646188472E-3</v>
      </c>
    </row>
    <row r="25" spans="1:57" s="32" customFormat="1">
      <c r="B25" s="42" t="s">
        <v>95</v>
      </c>
      <c r="C25" s="58">
        <f>SUM(C9:C24)</f>
        <v>1.0000258799999999</v>
      </c>
      <c r="D25" s="42"/>
      <c r="E25" s="145">
        <f t="shared" ref="E25:T25" si="29">AO25</f>
        <v>22.15336848652333</v>
      </c>
      <c r="F25" s="145">
        <f t="shared" si="29"/>
        <v>-216.86010633379996</v>
      </c>
      <c r="G25" s="145">
        <f t="shared" si="29"/>
        <v>3835.2784317395367</v>
      </c>
      <c r="H25" s="145">
        <f t="shared" si="29"/>
        <v>-282.45851822083341</v>
      </c>
      <c r="I25" s="145">
        <f t="shared" si="29"/>
        <v>686.16240767966644</v>
      </c>
      <c r="J25" s="145">
        <f t="shared" si="29"/>
        <v>-55.25128704133332</v>
      </c>
      <c r="K25" s="145">
        <f t="shared" si="29"/>
        <v>0.99506773875416676</v>
      </c>
      <c r="L25" s="145">
        <f t="shared" si="29"/>
        <v>0.36044364783233324</v>
      </c>
      <c r="M25" s="145">
        <f t="shared" si="29"/>
        <v>3.0050186919781625</v>
      </c>
      <c r="N25" s="145">
        <f t="shared" si="29"/>
        <v>7.1915174814257332</v>
      </c>
      <c r="O25" s="145">
        <f>E25/28.96</f>
        <v>0.76496438144072276</v>
      </c>
      <c r="P25" s="19">
        <f t="shared" si="26"/>
        <v>17.127594850003192</v>
      </c>
      <c r="Q25" s="145">
        <f t="shared" si="29"/>
        <v>0.4816662516159998</v>
      </c>
      <c r="R25" s="145">
        <f t="shared" si="29"/>
        <v>0.14229410244466664</v>
      </c>
      <c r="S25" s="145">
        <f t="shared" si="29"/>
        <v>1174.5940212926669</v>
      </c>
      <c r="T25" s="145">
        <f t="shared" si="29"/>
        <v>14595.466228406667</v>
      </c>
      <c r="U25" s="145">
        <f>SUM(U13:U23)</f>
        <v>5.2242199537777232</v>
      </c>
      <c r="V25" s="2"/>
      <c r="W25" s="2"/>
      <c r="X25" s="6"/>
      <c r="Y25" s="6"/>
      <c r="Z25" s="165">
        <f>SUM(Z9:Z24)</f>
        <v>0.8158918156665701</v>
      </c>
      <c r="AA25" s="165">
        <f t="shared" ref="AA25:AB25" si="30">SUM(AA9:AA24)</f>
        <v>0.18492507614909653</v>
      </c>
      <c r="AB25" s="165">
        <f t="shared" si="30"/>
        <v>1.0008168918156664</v>
      </c>
      <c r="AC25" s="19">
        <f t="shared" ref="AC25" si="31">SUM(AC9:AC24)</f>
        <v>12.11760522237301</v>
      </c>
      <c r="AD25" s="19">
        <f t="shared" ref="AD25" si="32">SUM(AD9:AD24)</f>
        <v>22.164836856604225</v>
      </c>
      <c r="AE25" s="42">
        <f>SUM(AE9:AE24)</f>
        <v>1.41379989985126E-7</v>
      </c>
      <c r="AF25" s="42">
        <f>SUM(AF9:AF24)</f>
        <v>377.99726786897963</v>
      </c>
      <c r="AG25" s="42">
        <f>SUM(AG9:AG24)</f>
        <v>383.57511240935389</v>
      </c>
      <c r="AO25" s="42">
        <f>SUM(AO9:AO24)</f>
        <v>22.15336848652333</v>
      </c>
      <c r="AP25" s="42">
        <f t="shared" ref="AP25:BB25" si="33">SUM(AP9:AP24)</f>
        <v>-216.86010633379996</v>
      </c>
      <c r="AQ25" s="42">
        <f t="shared" si="33"/>
        <v>3835.2784317395367</v>
      </c>
      <c r="AR25" s="42">
        <f t="shared" si="33"/>
        <v>-282.45851822083341</v>
      </c>
      <c r="AS25" s="42">
        <f t="shared" si="33"/>
        <v>686.16240767966644</v>
      </c>
      <c r="AT25" s="42">
        <f t="shared" si="33"/>
        <v>-55.25128704133332</v>
      </c>
      <c r="AU25" s="42">
        <f t="shared" si="33"/>
        <v>0.99506773875416676</v>
      </c>
      <c r="AV25" s="42">
        <f t="shared" si="33"/>
        <v>0.36044364783233324</v>
      </c>
      <c r="AW25" s="42">
        <f t="shared" si="33"/>
        <v>3.0050186919781625</v>
      </c>
      <c r="AX25" s="42">
        <f t="shared" si="33"/>
        <v>7.1915174814257332</v>
      </c>
      <c r="AY25" s="42">
        <f t="shared" si="33"/>
        <v>0.75824230194699993</v>
      </c>
      <c r="AZ25" s="42">
        <f t="shared" si="33"/>
        <v>20.380584591743581</v>
      </c>
      <c r="BA25" s="42">
        <f t="shared" si="33"/>
        <v>0.4816662516159998</v>
      </c>
      <c r="BB25" s="42">
        <f t="shared" si="33"/>
        <v>0.14229410244466664</v>
      </c>
      <c r="BC25" s="42">
        <f t="shared" ref="BC25" si="34">SUM(BC9:BC24)</f>
        <v>1174.5940212926669</v>
      </c>
      <c r="BD25" s="42">
        <f t="shared" ref="BD25" si="35">SUM(BD9:BD24)</f>
        <v>14595.466228406667</v>
      </c>
      <c r="BE25" s="42">
        <f>SUM(BE9:BE24)</f>
        <v>383.56518574234684</v>
      </c>
    </row>
    <row r="26" spans="1:57">
      <c r="E26" s="11"/>
      <c r="F26" s="11"/>
      <c r="G26" s="11"/>
      <c r="H26" s="11"/>
      <c r="I26" s="11"/>
      <c r="J26" s="11"/>
      <c r="K26" s="11"/>
      <c r="L26" s="11"/>
      <c r="M26" s="11"/>
      <c r="O26" s="11"/>
      <c r="P26" s="11"/>
      <c r="Q26" s="11"/>
      <c r="R26" s="11"/>
      <c r="S26" s="11"/>
      <c r="T26" s="11"/>
      <c r="U26" s="11"/>
    </row>
    <row r="27" spans="1:57">
      <c r="A27" s="13" t="s">
        <v>96</v>
      </c>
    </row>
    <row r="28" spans="1:57">
      <c r="C28" s="7" t="s">
        <v>97</v>
      </c>
    </row>
    <row r="29" spans="1:57">
      <c r="C29" s="8" t="s">
        <v>98</v>
      </c>
      <c r="K29" s="23" t="s">
        <v>99</v>
      </c>
      <c r="M29" s="2" t="s">
        <v>100</v>
      </c>
      <c r="N29" s="11">
        <f>1-N43</f>
        <v>1</v>
      </c>
    </row>
    <row r="30" spans="1:57">
      <c r="B30" s="6" t="s">
        <v>68</v>
      </c>
      <c r="C30" s="58">
        <f>$N$43*C73/C9</f>
        <v>0</v>
      </c>
    </row>
    <row r="31" spans="1:57">
      <c r="B31" s="6" t="s">
        <v>69</v>
      </c>
      <c r="C31" s="58">
        <f t="shared" ref="C31:C45" si="36">$N$43*C74/C10</f>
        <v>0</v>
      </c>
    </row>
    <row r="32" spans="1:57">
      <c r="B32" s="6" t="s">
        <v>71</v>
      </c>
      <c r="C32" s="58">
        <f t="shared" si="36"/>
        <v>0</v>
      </c>
    </row>
    <row r="33" spans="2:14">
      <c r="B33" s="6" t="s">
        <v>72</v>
      </c>
      <c r="C33" s="58">
        <f t="shared" si="36"/>
        <v>0</v>
      </c>
    </row>
    <row r="34" spans="2:14">
      <c r="B34" s="6" t="s">
        <v>74</v>
      </c>
      <c r="C34" s="58">
        <f t="shared" si="36"/>
        <v>0</v>
      </c>
    </row>
    <row r="35" spans="2:14">
      <c r="B35" s="6" t="s">
        <v>76</v>
      </c>
      <c r="C35" s="58">
        <f t="shared" si="36"/>
        <v>0</v>
      </c>
      <c r="G35" s="23" t="s">
        <v>58</v>
      </c>
    </row>
    <row r="36" spans="2:14">
      <c r="B36" s="6" t="s">
        <v>78</v>
      </c>
      <c r="C36" s="58">
        <f t="shared" si="36"/>
        <v>0</v>
      </c>
    </row>
    <row r="37" spans="2:14">
      <c r="B37" s="6" t="s">
        <v>80</v>
      </c>
      <c r="C37" s="58">
        <f t="shared" si="36"/>
        <v>0</v>
      </c>
    </row>
    <row r="38" spans="2:14">
      <c r="B38" s="6" t="s">
        <v>81</v>
      </c>
      <c r="C38" s="58">
        <f t="shared" si="36"/>
        <v>0</v>
      </c>
      <c r="G38" s="2">
        <f>C25</f>
        <v>1.0000258799999999</v>
      </c>
    </row>
    <row r="39" spans="2:14">
      <c r="B39" s="6" t="s">
        <v>83</v>
      </c>
      <c r="C39" s="58">
        <f t="shared" si="36"/>
        <v>0</v>
      </c>
    </row>
    <row r="40" spans="2:14">
      <c r="B40" s="6" t="s">
        <v>84</v>
      </c>
      <c r="C40" s="58">
        <f t="shared" si="36"/>
        <v>0</v>
      </c>
    </row>
    <row r="41" spans="2:14">
      <c r="B41" s="6" t="s">
        <v>86</v>
      </c>
      <c r="C41" s="58">
        <f t="shared" si="36"/>
        <v>0</v>
      </c>
    </row>
    <row r="42" spans="2:14">
      <c r="B42" s="6" t="s">
        <v>88</v>
      </c>
      <c r="C42" s="58">
        <f t="shared" si="36"/>
        <v>0</v>
      </c>
    </row>
    <row r="43" spans="2:14">
      <c r="B43" s="6" t="s">
        <v>90</v>
      </c>
      <c r="C43" s="58">
        <f t="shared" si="36"/>
        <v>0</v>
      </c>
      <c r="K43" s="23" t="s">
        <v>101</v>
      </c>
      <c r="M43" s="2" t="s">
        <v>102</v>
      </c>
      <c r="N43" s="11">
        <f>AB46</f>
        <v>0</v>
      </c>
    </row>
    <row r="44" spans="2:14">
      <c r="B44" s="6" t="s">
        <v>92</v>
      </c>
      <c r="C44" s="58">
        <f t="shared" si="36"/>
        <v>0</v>
      </c>
    </row>
    <row r="45" spans="2:14">
      <c r="B45" s="6" t="s">
        <v>1</v>
      </c>
      <c r="C45" s="58">
        <f t="shared" si="36"/>
        <v>0</v>
      </c>
    </row>
    <row r="49" spans="1:44">
      <c r="A49" s="13" t="s">
        <v>103</v>
      </c>
    </row>
    <row r="50" spans="1:44">
      <c r="C50" s="24" t="s">
        <v>38</v>
      </c>
      <c r="D50" s="7"/>
      <c r="E50" s="7"/>
      <c r="F50" s="7" t="s">
        <v>39</v>
      </c>
      <c r="G50" s="7" t="s">
        <v>40</v>
      </c>
      <c r="H50" s="7" t="s">
        <v>41</v>
      </c>
      <c r="I50" s="7" t="s">
        <v>42</v>
      </c>
      <c r="J50" s="7" t="s">
        <v>43</v>
      </c>
      <c r="K50" s="7"/>
      <c r="L50" s="347" t="s">
        <v>44</v>
      </c>
      <c r="M50" s="348"/>
      <c r="N50" s="349"/>
      <c r="O50" s="345" t="s">
        <v>45</v>
      </c>
      <c r="P50" s="346"/>
      <c r="Q50" s="7" t="s">
        <v>46</v>
      </c>
      <c r="R50" s="25" t="s">
        <v>47</v>
      </c>
      <c r="S50" s="7" t="s">
        <v>48</v>
      </c>
      <c r="T50" s="25" t="s">
        <v>49</v>
      </c>
      <c r="U50" s="7" t="s">
        <v>50</v>
      </c>
    </row>
    <row r="51" spans="1:44">
      <c r="C51" s="26" t="s">
        <v>51</v>
      </c>
      <c r="D51" s="8" t="s">
        <v>52</v>
      </c>
      <c r="E51" s="8" t="s">
        <v>53</v>
      </c>
      <c r="F51" s="17" t="s">
        <v>54</v>
      </c>
      <c r="G51" s="17" t="s">
        <v>55</v>
      </c>
      <c r="H51" s="8" t="s">
        <v>56</v>
      </c>
      <c r="I51" s="8" t="s">
        <v>57</v>
      </c>
      <c r="J51" s="8" t="s">
        <v>58</v>
      </c>
      <c r="K51" s="8" t="s">
        <v>59</v>
      </c>
      <c r="L51" s="27" t="s">
        <v>60</v>
      </c>
      <c r="M51" s="27" t="s">
        <v>61</v>
      </c>
      <c r="N51" s="28" t="s">
        <v>62</v>
      </c>
      <c r="O51" s="19" t="s">
        <v>60</v>
      </c>
      <c r="P51" s="19" t="s">
        <v>63</v>
      </c>
      <c r="Q51" s="8" t="s">
        <v>64</v>
      </c>
      <c r="R51" s="29" t="s">
        <v>64</v>
      </c>
      <c r="S51" s="8" t="s">
        <v>65</v>
      </c>
      <c r="T51" s="29" t="s">
        <v>66</v>
      </c>
      <c r="U51" s="8" t="s">
        <v>67</v>
      </c>
    </row>
    <row r="52" spans="1:44">
      <c r="B52" s="6" t="s">
        <v>68</v>
      </c>
      <c r="C52" s="35">
        <f>Drawing!N38</f>
        <v>1.2006822170246531E-2</v>
      </c>
      <c r="D52" s="6" t="s">
        <v>4</v>
      </c>
      <c r="E52" s="18">
        <v>28.013000000000002</v>
      </c>
      <c r="F52" s="18">
        <v>-297.33199999999999</v>
      </c>
      <c r="G52" s="6"/>
      <c r="H52" s="20">
        <v>-346</v>
      </c>
      <c r="I52" s="20">
        <v>493</v>
      </c>
      <c r="J52" s="20">
        <v>-232.7</v>
      </c>
      <c r="K52" s="19">
        <v>0.99997000000000003</v>
      </c>
      <c r="L52" s="30">
        <v>0.80940000000000001</v>
      </c>
      <c r="M52" s="28">
        <f>L52*$M$24</f>
        <v>6.7479677999999996</v>
      </c>
      <c r="N52" s="28">
        <f t="shared" ref="N52:N54" si="37">E52/M52</f>
        <v>4.1513238993226977</v>
      </c>
      <c r="O52" s="19">
        <v>0.55400000000000005</v>
      </c>
      <c r="P52" s="19">
        <f>13.102/O52</f>
        <v>23.649819494584836</v>
      </c>
      <c r="Q52" s="6">
        <v>0.24840000000000001</v>
      </c>
      <c r="R52" s="27"/>
      <c r="S52" s="6"/>
      <c r="T52" s="27"/>
      <c r="U52" s="6"/>
      <c r="AC52" s="2">
        <f t="shared" ref="AC52:AR52" si="38">E52*$C52</f>
        <v>0.33634710945511609</v>
      </c>
      <c r="AD52" s="2">
        <f t="shared" si="38"/>
        <v>-3.5700124495237415</v>
      </c>
      <c r="AE52" s="2">
        <f t="shared" si="38"/>
        <v>0</v>
      </c>
      <c r="AF52" s="2">
        <f t="shared" si="38"/>
        <v>-4.1543604709052993</v>
      </c>
      <c r="AG52" s="2">
        <f t="shared" si="38"/>
        <v>5.9193633299315396</v>
      </c>
      <c r="AH52" s="2">
        <f t="shared" si="38"/>
        <v>-2.7939875190163677</v>
      </c>
      <c r="AI52" s="2">
        <f t="shared" si="38"/>
        <v>1.2006461965581423E-2</v>
      </c>
      <c r="AJ52" s="2">
        <f t="shared" si="38"/>
        <v>9.7183218645975414E-3</v>
      </c>
      <c r="AK52" s="2">
        <f t="shared" si="38"/>
        <v>8.1021649385149705E-2</v>
      </c>
      <c r="AL52" s="2">
        <f t="shared" si="38"/>
        <v>4.9844207830262041E-2</v>
      </c>
      <c r="AM52" s="2">
        <f t="shared" si="38"/>
        <v>6.6517794823165782E-3</v>
      </c>
      <c r="AN52" s="2">
        <f t="shared" si="38"/>
        <v>0.2839591770299098</v>
      </c>
      <c r="AO52" s="2">
        <f t="shared" si="38"/>
        <v>2.9824946270892382E-3</v>
      </c>
      <c r="AP52" s="2">
        <f t="shared" si="38"/>
        <v>0</v>
      </c>
      <c r="AQ52" s="2">
        <f t="shared" si="38"/>
        <v>0</v>
      </c>
      <c r="AR52" s="2">
        <f t="shared" si="38"/>
        <v>0</v>
      </c>
    </row>
    <row r="53" spans="1:44">
      <c r="B53" s="6" t="s">
        <v>69</v>
      </c>
      <c r="C53" s="35">
        <f>Drawing!N39</f>
        <v>5.5631374758952128E-2</v>
      </c>
      <c r="D53" s="6" t="s">
        <v>70</v>
      </c>
      <c r="E53" s="18">
        <v>44.01</v>
      </c>
      <c r="F53" s="18">
        <v>-109.32</v>
      </c>
      <c r="G53" s="6"/>
      <c r="H53" s="20">
        <v>-69.77</v>
      </c>
      <c r="I53" s="20">
        <v>1071</v>
      </c>
      <c r="J53" s="20">
        <v>87.87</v>
      </c>
      <c r="K53" s="19">
        <v>0.99429999999999996</v>
      </c>
      <c r="L53" s="30">
        <v>0.81759999999999999</v>
      </c>
      <c r="M53" s="28">
        <f t="shared" ref="M53:M66" si="39">L53*$M$24</f>
        <v>6.8163311999999996</v>
      </c>
      <c r="N53" s="28">
        <f t="shared" si="37"/>
        <v>6.4565524632957976</v>
      </c>
      <c r="O53" s="19">
        <v>1.53</v>
      </c>
      <c r="P53" s="19">
        <f t="shared" ref="P53:P54" si="40">13.102/O53</f>
        <v>8.5633986928104573</v>
      </c>
      <c r="Q53" s="6">
        <v>0.19900000000000001</v>
      </c>
      <c r="R53" s="27"/>
      <c r="S53" s="6"/>
      <c r="T53" s="27"/>
      <c r="U53" s="6"/>
      <c r="AC53" s="2">
        <f t="shared" ref="AC53:AR66" si="41">E53*$C53</f>
        <v>2.4483368031414829</v>
      </c>
      <c r="AD53" s="2">
        <f t="shared" si="41"/>
        <v>-6.0816218886486464</v>
      </c>
      <c r="AE53" s="2">
        <f t="shared" si="41"/>
        <v>0</v>
      </c>
      <c r="AF53" s="2">
        <f t="shared" si="41"/>
        <v>-3.8814010169320898</v>
      </c>
      <c r="AG53" s="2">
        <f t="shared" si="41"/>
        <v>59.581202366837729</v>
      </c>
      <c r="AH53" s="2">
        <f t="shared" si="41"/>
        <v>4.8883289000691237</v>
      </c>
      <c r="AI53" s="2">
        <f t="shared" si="41"/>
        <v>5.5314275922826096E-2</v>
      </c>
      <c r="AJ53" s="2">
        <f t="shared" si="41"/>
        <v>4.5484212002919258E-2</v>
      </c>
      <c r="AK53" s="2">
        <f t="shared" si="41"/>
        <v>0.37920187546833783</v>
      </c>
      <c r="AL53" s="2">
        <f t="shared" si="41"/>
        <v>0.35918688973644403</v>
      </c>
      <c r="AM53" s="2">
        <f t="shared" si="41"/>
        <v>8.511600338119675E-2</v>
      </c>
      <c r="AN53" s="2">
        <f t="shared" si="41"/>
        <v>0.47639364189005934</v>
      </c>
      <c r="AO53" s="2">
        <f t="shared" si="41"/>
        <v>1.1070643577031474E-2</v>
      </c>
      <c r="AP53" s="2">
        <f t="shared" si="41"/>
        <v>0</v>
      </c>
      <c r="AQ53" s="2">
        <f t="shared" si="41"/>
        <v>0</v>
      </c>
      <c r="AR53" s="2">
        <f t="shared" si="41"/>
        <v>0</v>
      </c>
    </row>
    <row r="54" spans="1:44">
      <c r="B54" s="6" t="s">
        <v>71</v>
      </c>
      <c r="C54" s="35">
        <f>Drawing!N40</f>
        <v>1.0007399238816907E-6</v>
      </c>
      <c r="D54" s="6" t="s">
        <v>2</v>
      </c>
      <c r="E54" s="18">
        <v>34.076000000000001</v>
      </c>
      <c r="F54" s="18">
        <v>-76.56</v>
      </c>
      <c r="G54" s="6">
        <v>387.1</v>
      </c>
      <c r="H54" s="20">
        <v>-121.58</v>
      </c>
      <c r="I54" s="20">
        <v>1036</v>
      </c>
      <c r="J54" s="20">
        <v>212.6</v>
      </c>
      <c r="K54" s="19">
        <v>0.99029999999999996</v>
      </c>
      <c r="L54" s="30">
        <v>0.78710000000000002</v>
      </c>
      <c r="M54" s="28">
        <f t="shared" si="39"/>
        <v>6.5620526999999997</v>
      </c>
      <c r="N54" s="28">
        <f t="shared" si="37"/>
        <v>5.1928872805303747</v>
      </c>
      <c r="O54" s="19">
        <v>1.3</v>
      </c>
      <c r="P54" s="19">
        <f t="shared" si="40"/>
        <v>10.078461538461537</v>
      </c>
      <c r="Q54" s="6">
        <v>0.2379</v>
      </c>
      <c r="R54" s="27">
        <v>0.49680000000000002</v>
      </c>
      <c r="S54" s="6">
        <v>637</v>
      </c>
      <c r="T54" s="27"/>
      <c r="U54" s="6"/>
      <c r="AC54" s="2">
        <f t="shared" si="41"/>
        <v>3.4101213646192491E-5</v>
      </c>
      <c r="AD54" s="2">
        <f t="shared" si="41"/>
        <v>-7.6616648572382242E-5</v>
      </c>
      <c r="AE54" s="2">
        <f t="shared" si="41"/>
        <v>3.8738642453460249E-4</v>
      </c>
      <c r="AF54" s="2">
        <f t="shared" si="41"/>
        <v>-1.2166995994553595E-4</v>
      </c>
      <c r="AG54" s="2">
        <f t="shared" si="41"/>
        <v>1.0367665611414314E-3</v>
      </c>
      <c r="AH54" s="2">
        <f t="shared" si="41"/>
        <v>2.1275730781724744E-4</v>
      </c>
      <c r="AI54" s="2">
        <f t="shared" si="41"/>
        <v>9.9103274662003819E-7</v>
      </c>
      <c r="AJ54" s="2">
        <f t="shared" si="41"/>
        <v>7.8768239408727878E-7</v>
      </c>
      <c r="AK54" s="2">
        <f t="shared" si="41"/>
        <v>6.5669081195056423E-6</v>
      </c>
      <c r="AL54" s="2">
        <f t="shared" si="41"/>
        <v>5.1967296218441669E-6</v>
      </c>
      <c r="AM54" s="2">
        <f t="shared" si="41"/>
        <v>1.3009619010461979E-6</v>
      </c>
      <c r="AN54" s="2">
        <f t="shared" si="41"/>
        <v>1.0085918832844546E-5</v>
      </c>
      <c r="AO54" s="2">
        <f t="shared" si="41"/>
        <v>2.380760278914542E-7</v>
      </c>
      <c r="AP54" s="2">
        <f t="shared" si="41"/>
        <v>4.9716759418442391E-7</v>
      </c>
      <c r="AQ54" s="2">
        <f t="shared" si="41"/>
        <v>6.3747133151263692E-4</v>
      </c>
      <c r="AR54" s="2">
        <f t="shared" si="41"/>
        <v>0</v>
      </c>
    </row>
    <row r="55" spans="1:44">
      <c r="B55" s="6" t="s">
        <v>72</v>
      </c>
      <c r="C55" s="35">
        <f>Drawing!N41</f>
        <v>0.74909260871383654</v>
      </c>
      <c r="D55" s="6" t="s">
        <v>73</v>
      </c>
      <c r="E55" s="18">
        <v>16.042999999999999</v>
      </c>
      <c r="F55" s="18">
        <v>-258.7</v>
      </c>
      <c r="G55" s="6">
        <v>5000</v>
      </c>
      <c r="H55" s="20">
        <v>-296.5</v>
      </c>
      <c r="I55" s="20">
        <v>667.8</v>
      </c>
      <c r="J55" s="20">
        <v>-116.68</v>
      </c>
      <c r="K55" s="19">
        <v>0.99809999999999999</v>
      </c>
      <c r="L55" s="30">
        <v>0.3</v>
      </c>
      <c r="M55" s="28">
        <f t="shared" si="39"/>
        <v>2.5010999999999997</v>
      </c>
      <c r="N55" s="28">
        <f>E55/M55</f>
        <v>6.4143776738235179</v>
      </c>
      <c r="O55" s="19">
        <v>0.55389999999999995</v>
      </c>
      <c r="P55" s="19">
        <f>13.102/O55</f>
        <v>23.654089185773607</v>
      </c>
      <c r="Q55" s="6">
        <v>0.52659999999999996</v>
      </c>
      <c r="R55" s="27"/>
      <c r="S55" s="6">
        <v>1009.7</v>
      </c>
      <c r="T55" s="27"/>
      <c r="U55" s="6"/>
      <c r="AC55" s="2">
        <f t="shared" si="41"/>
        <v>12.017692721596079</v>
      </c>
      <c r="AD55" s="2">
        <f t="shared" si="41"/>
        <v>-193.79025787426951</v>
      </c>
      <c r="AE55" s="2">
        <f t="shared" si="41"/>
        <v>3745.4630435691829</v>
      </c>
      <c r="AF55" s="2">
        <f t="shared" si="41"/>
        <v>-222.10595848365253</v>
      </c>
      <c r="AG55" s="2">
        <f t="shared" si="41"/>
        <v>500.24404409909999</v>
      </c>
      <c r="AH55" s="2">
        <f t="shared" si="41"/>
        <v>-87.404125584730451</v>
      </c>
      <c r="AI55" s="2">
        <f t="shared" si="41"/>
        <v>0.7476693327572802</v>
      </c>
      <c r="AJ55" s="2">
        <f t="shared" si="41"/>
        <v>0.22472778261415097</v>
      </c>
      <c r="AK55" s="2">
        <f t="shared" si="41"/>
        <v>1.8735555236541763</v>
      </c>
      <c r="AL55" s="2">
        <f t="shared" si="41"/>
        <v>4.8049629049602496</v>
      </c>
      <c r="AM55" s="2">
        <f t="shared" si="41"/>
        <v>0.41492239596659403</v>
      </c>
      <c r="AN55" s="2">
        <f t="shared" si="41"/>
        <v>17.719103374920902</v>
      </c>
      <c r="AO55" s="2">
        <f t="shared" si="41"/>
        <v>0.3944721677487063</v>
      </c>
      <c r="AP55" s="2">
        <f t="shared" si="41"/>
        <v>0</v>
      </c>
      <c r="AQ55" s="2">
        <f t="shared" si="41"/>
        <v>756.35880701836084</v>
      </c>
      <c r="AR55" s="2">
        <f t="shared" si="41"/>
        <v>0</v>
      </c>
    </row>
    <row r="56" spans="1:44">
      <c r="B56" s="6" t="s">
        <v>74</v>
      </c>
      <c r="C56" s="35">
        <f>Drawing!N42</f>
        <v>0.10374969652927329</v>
      </c>
      <c r="D56" s="6" t="s">
        <v>75</v>
      </c>
      <c r="E56" s="18">
        <v>30.7</v>
      </c>
      <c r="F56" s="18">
        <v>-127.44</v>
      </c>
      <c r="G56" s="6">
        <v>800</v>
      </c>
      <c r="H56" s="20">
        <v>-297.04000000000002</v>
      </c>
      <c r="I56" s="20">
        <v>707.8</v>
      </c>
      <c r="J56" s="20">
        <v>90.1</v>
      </c>
      <c r="K56" s="19">
        <v>0.99609999999999999</v>
      </c>
      <c r="L56" s="30">
        <v>0.35630000000000001</v>
      </c>
      <c r="M56" s="28">
        <f t="shared" si="39"/>
        <v>2.9704731</v>
      </c>
      <c r="N56" s="28">
        <f t="shared" ref="N56:N67" si="42">E56/M56</f>
        <v>10.335054035668595</v>
      </c>
      <c r="O56" s="19">
        <v>1.0382</v>
      </c>
      <c r="P56" s="19">
        <f t="shared" ref="P56:P68" si="43">13.102/O56</f>
        <v>12.619919090733962</v>
      </c>
      <c r="Q56" s="6">
        <v>0.40799999999999997</v>
      </c>
      <c r="R56" s="27">
        <v>0.92559999999999998</v>
      </c>
      <c r="S56" s="6">
        <v>1768</v>
      </c>
      <c r="T56" s="27">
        <v>65889</v>
      </c>
      <c r="U56" s="6">
        <f>N56*C56/0.3795</f>
        <v>2.8254511721060815</v>
      </c>
      <c r="AC56" s="2">
        <f t="shared" si="41"/>
        <v>3.1851156834486902</v>
      </c>
      <c r="AD56" s="2">
        <f t="shared" si="41"/>
        <v>-13.221861325690588</v>
      </c>
      <c r="AE56" s="2">
        <f t="shared" si="41"/>
        <v>82.999757223418641</v>
      </c>
      <c r="AF56" s="2">
        <f t="shared" si="41"/>
        <v>-30.817809857055341</v>
      </c>
      <c r="AG56" s="2">
        <f t="shared" si="41"/>
        <v>73.43403520341964</v>
      </c>
      <c r="AH56" s="2">
        <f t="shared" si="41"/>
        <v>9.3478476572875238</v>
      </c>
      <c r="AI56" s="2">
        <f t="shared" si="41"/>
        <v>0.10334507271280913</v>
      </c>
      <c r="AJ56" s="2">
        <f t="shared" si="41"/>
        <v>3.6966016873380074E-2</v>
      </c>
      <c r="AK56" s="2">
        <f t="shared" si="41"/>
        <v>0.30818568267336965</v>
      </c>
      <c r="AL56" s="2">
        <f t="shared" si="41"/>
        <v>1.0722587198142579</v>
      </c>
      <c r="AM56" s="2">
        <f t="shared" si="41"/>
        <v>0.10771293493669154</v>
      </c>
      <c r="AN56" s="2">
        <f t="shared" si="41"/>
        <v>1.3093127758876311</v>
      </c>
      <c r="AO56" s="2">
        <f t="shared" si="41"/>
        <v>4.2329876183943502E-2</v>
      </c>
      <c r="AP56" s="2">
        <f t="shared" si="41"/>
        <v>9.603071910749536E-2</v>
      </c>
      <c r="AQ56" s="2">
        <f t="shared" si="41"/>
        <v>183.42946346375518</v>
      </c>
      <c r="AR56" s="2">
        <f t="shared" si="41"/>
        <v>6835.963754617288</v>
      </c>
    </row>
    <row r="57" spans="1:44">
      <c r="B57" s="6" t="s">
        <v>76</v>
      </c>
      <c r="C57" s="35">
        <f>Drawing!N43</f>
        <v>4.9172125239411987E-2</v>
      </c>
      <c r="D57" s="6" t="s">
        <v>77</v>
      </c>
      <c r="E57" s="18">
        <v>44.097000000000001</v>
      </c>
      <c r="F57" s="18">
        <v>-43.73</v>
      </c>
      <c r="G57" s="6">
        <v>188</v>
      </c>
      <c r="H57" s="20">
        <v>-305.82</v>
      </c>
      <c r="I57" s="20">
        <v>616.29999999999995</v>
      </c>
      <c r="J57" s="20">
        <v>206.1</v>
      </c>
      <c r="K57" s="19">
        <v>0.98080000000000001</v>
      </c>
      <c r="L57" s="30">
        <v>0.50749999999999995</v>
      </c>
      <c r="M57" s="28">
        <f t="shared" si="39"/>
        <v>4.2310274999999997</v>
      </c>
      <c r="N57" s="28">
        <f t="shared" si="42"/>
        <v>10.422291039233379</v>
      </c>
      <c r="O57" s="19">
        <v>1.5225</v>
      </c>
      <c r="P57" s="19">
        <f t="shared" si="43"/>
        <v>8.6055829228243024</v>
      </c>
      <c r="Q57" s="6">
        <v>0.38869999999999999</v>
      </c>
      <c r="R57" s="27">
        <v>0.59019999999999995</v>
      </c>
      <c r="S57" s="6">
        <v>2517</v>
      </c>
      <c r="T57" s="27">
        <v>90962</v>
      </c>
      <c r="U57" s="6">
        <f t="shared" ref="U57:U66" si="44">N57*C57/0.3795</f>
        <v>1.3504247701259158</v>
      </c>
      <c r="AC57" s="2">
        <f t="shared" si="41"/>
        <v>2.1683432066823505</v>
      </c>
      <c r="AD57" s="2">
        <f t="shared" si="41"/>
        <v>-2.1502970367194862</v>
      </c>
      <c r="AE57" s="2">
        <f t="shared" si="41"/>
        <v>9.2443595450094538</v>
      </c>
      <c r="AF57" s="2">
        <f t="shared" si="41"/>
        <v>-15.037819340716974</v>
      </c>
      <c r="AG57" s="2">
        <f t="shared" si="41"/>
        <v>30.304780785049605</v>
      </c>
      <c r="AH57" s="2">
        <f t="shared" si="41"/>
        <v>10.13437501184281</v>
      </c>
      <c r="AI57" s="2">
        <f t="shared" si="41"/>
        <v>4.8228020434815277E-2</v>
      </c>
      <c r="AJ57" s="2">
        <f t="shared" si="41"/>
        <v>2.495485355900158E-2</v>
      </c>
      <c r="AK57" s="2">
        <f t="shared" si="41"/>
        <v>0.20804861412139619</v>
      </c>
      <c r="AL57" s="2">
        <f t="shared" si="41"/>
        <v>0.51248620026278502</v>
      </c>
      <c r="AM57" s="2">
        <f t="shared" si="41"/>
        <v>7.4864560677004754E-2</v>
      </c>
      <c r="AN57" s="2">
        <f t="shared" si="41"/>
        <v>0.42315480123926164</v>
      </c>
      <c r="AO57" s="2">
        <f t="shared" si="41"/>
        <v>1.9113205080559439E-2</v>
      </c>
      <c r="AP57" s="2">
        <f t="shared" si="41"/>
        <v>2.9021388316300953E-2</v>
      </c>
      <c r="AQ57" s="2">
        <f t="shared" si="41"/>
        <v>123.76623922759997</v>
      </c>
      <c r="AR57" s="2">
        <f t="shared" si="41"/>
        <v>4472.7948560273935</v>
      </c>
    </row>
    <row r="58" spans="1:44">
      <c r="B58" s="6" t="s">
        <v>78</v>
      </c>
      <c r="C58" s="35">
        <f>Drawing!N44</f>
        <v>6.4687434070746837E-3</v>
      </c>
      <c r="D58" s="6" t="s">
        <v>79</v>
      </c>
      <c r="E58" s="18">
        <v>58.124000000000002</v>
      </c>
      <c r="F58" s="18">
        <v>10.74</v>
      </c>
      <c r="G58" s="6">
        <v>72.39</v>
      </c>
      <c r="H58" s="20">
        <v>-255.28</v>
      </c>
      <c r="I58" s="20">
        <v>529.1</v>
      </c>
      <c r="J58" s="20">
        <v>274.95999999999998</v>
      </c>
      <c r="K58" s="19">
        <v>0.96609999999999996</v>
      </c>
      <c r="L58" s="30">
        <v>0.56299999999999994</v>
      </c>
      <c r="M58" s="28">
        <f t="shared" si="39"/>
        <v>4.6937309999999997</v>
      </c>
      <c r="N58" s="28">
        <f t="shared" si="42"/>
        <v>12.383325759401211</v>
      </c>
      <c r="O58" s="19">
        <v>2.0068000000000001</v>
      </c>
      <c r="P58" s="19">
        <f t="shared" si="43"/>
        <v>6.5288020729519634</v>
      </c>
      <c r="Q58" s="6">
        <v>0.38669999999999999</v>
      </c>
      <c r="R58" s="27">
        <v>0.56599999999999995</v>
      </c>
      <c r="S58" s="6">
        <v>3252</v>
      </c>
      <c r="T58" s="27">
        <v>98968</v>
      </c>
      <c r="U58" s="6">
        <f t="shared" si="44"/>
        <v>0.21107920122209403</v>
      </c>
      <c r="AC58" s="2">
        <f t="shared" si="41"/>
        <v>0.37598924179280896</v>
      </c>
      <c r="AD58" s="2">
        <f t="shared" si="41"/>
        <v>6.9474304191982111E-2</v>
      </c>
      <c r="AE58" s="2">
        <f t="shared" si="41"/>
        <v>0.46827233523813638</v>
      </c>
      <c r="AF58" s="2">
        <f t="shared" si="41"/>
        <v>-1.6513408169580253</v>
      </c>
      <c r="AG58" s="2">
        <f t="shared" si="41"/>
        <v>3.4226121366832154</v>
      </c>
      <c r="AH58" s="2">
        <f t="shared" si="41"/>
        <v>1.7786456872092549</v>
      </c>
      <c r="AI58" s="2">
        <f t="shared" si="41"/>
        <v>6.2494530055748516E-3</v>
      </c>
      <c r="AJ58" s="2">
        <f t="shared" si="41"/>
        <v>3.6419025381830466E-3</v>
      </c>
      <c r="AK58" s="2">
        <f t="shared" si="41"/>
        <v>3.036254146083206E-2</v>
      </c>
      <c r="AL58" s="2">
        <f t="shared" si="41"/>
        <v>8.010455686378469E-2</v>
      </c>
      <c r="AM58" s="2">
        <f t="shared" si="41"/>
        <v>1.2981474269317476E-2</v>
      </c>
      <c r="AN58" s="2">
        <f t="shared" si="41"/>
        <v>4.2233145365503544E-2</v>
      </c>
      <c r="AO58" s="2">
        <f t="shared" si="41"/>
        <v>2.50146307551578E-3</v>
      </c>
      <c r="AP58" s="2">
        <f t="shared" si="41"/>
        <v>3.6613087684042706E-3</v>
      </c>
      <c r="AQ58" s="2">
        <f t="shared" si="41"/>
        <v>21.036353559806873</v>
      </c>
      <c r="AR58" s="2">
        <f t="shared" si="41"/>
        <v>640.19859751136732</v>
      </c>
    </row>
    <row r="59" spans="1:44">
      <c r="B59" s="6" t="s">
        <v>80</v>
      </c>
      <c r="C59" s="35">
        <f>Drawing!N45</f>
        <v>1.4271695793360122E-2</v>
      </c>
      <c r="D59" s="6" t="s">
        <v>79</v>
      </c>
      <c r="E59" s="18">
        <v>58.124000000000002</v>
      </c>
      <c r="F59" s="18">
        <v>31.12</v>
      </c>
      <c r="G59" s="6">
        <v>51.54</v>
      </c>
      <c r="H59" s="20">
        <v>-217.05</v>
      </c>
      <c r="I59" s="20">
        <v>550.70000000000005</v>
      </c>
      <c r="J59" s="20">
        <v>305.62</v>
      </c>
      <c r="K59" s="19">
        <v>0.93669999999999998</v>
      </c>
      <c r="L59" s="30">
        <v>0.58430000000000004</v>
      </c>
      <c r="M59" s="28">
        <f t="shared" si="39"/>
        <v>4.8713091000000004</v>
      </c>
      <c r="N59" s="28">
        <f t="shared" si="42"/>
        <v>11.931905532334213</v>
      </c>
      <c r="O59" s="19">
        <v>2.0068000000000001</v>
      </c>
      <c r="P59" s="19">
        <f t="shared" si="43"/>
        <v>6.5288020729519634</v>
      </c>
      <c r="Q59" s="6">
        <v>0.39510000000000001</v>
      </c>
      <c r="R59" s="27">
        <v>0.56599999999999995</v>
      </c>
      <c r="S59" s="6">
        <v>3262</v>
      </c>
      <c r="T59" s="27">
        <v>102918</v>
      </c>
      <c r="U59" s="6">
        <f t="shared" si="44"/>
        <v>0.44871811855753502</v>
      </c>
      <c r="AC59" s="2">
        <f t="shared" si="41"/>
        <v>0.82952804629326371</v>
      </c>
      <c r="AD59" s="2">
        <f t="shared" si="41"/>
        <v>0.44413517308936701</v>
      </c>
      <c r="AE59" s="2">
        <f t="shared" si="41"/>
        <v>0.73556320118978069</v>
      </c>
      <c r="AF59" s="2">
        <f t="shared" si="41"/>
        <v>-3.0976715719488146</v>
      </c>
      <c r="AG59" s="2">
        <f t="shared" si="41"/>
        <v>7.8594228734034193</v>
      </c>
      <c r="AH59" s="2">
        <f t="shared" si="41"/>
        <v>4.3617156683667204</v>
      </c>
      <c r="AI59" s="2">
        <f t="shared" si="41"/>
        <v>1.3368297449640425E-2</v>
      </c>
      <c r="AJ59" s="2">
        <f t="shared" si="41"/>
        <v>8.3389518520603188E-3</v>
      </c>
      <c r="AK59" s="2">
        <f t="shared" si="41"/>
        <v>6.9521841590626882E-2</v>
      </c>
      <c r="AL59" s="2">
        <f t="shared" si="41"/>
        <v>0.17028852599258454</v>
      </c>
      <c r="AM59" s="2">
        <f t="shared" si="41"/>
        <v>2.8640439118115094E-2</v>
      </c>
      <c r="AN59" s="2">
        <f t="shared" si="41"/>
        <v>9.3177077080229376E-2</v>
      </c>
      <c r="AO59" s="2">
        <f t="shared" si="41"/>
        <v>5.6387470079565846E-3</v>
      </c>
      <c r="AP59" s="2">
        <f t="shared" si="41"/>
        <v>8.0777798190418276E-3</v>
      </c>
      <c r="AQ59" s="2">
        <f t="shared" si="41"/>
        <v>46.554271677940719</v>
      </c>
      <c r="AR59" s="2">
        <f t="shared" si="41"/>
        <v>1468.814387661037</v>
      </c>
    </row>
    <row r="60" spans="1:44">
      <c r="B60" s="6" t="s">
        <v>81</v>
      </c>
      <c r="C60" s="35">
        <f>Drawing!N46</f>
        <v>3.2985688112396258E-3</v>
      </c>
      <c r="D60" s="6" t="s">
        <v>82</v>
      </c>
      <c r="E60" s="18">
        <v>72.150999999999996</v>
      </c>
      <c r="F60" s="18">
        <v>82.11</v>
      </c>
      <c r="G60" s="6">
        <v>20.443999999999999</v>
      </c>
      <c r="H60" s="20">
        <v>-255.82</v>
      </c>
      <c r="I60" s="20">
        <v>490.4</v>
      </c>
      <c r="J60" s="20">
        <v>369.03</v>
      </c>
      <c r="K60" s="19">
        <v>0.94799999999999995</v>
      </c>
      <c r="L60" s="30">
        <v>0.62439999999999996</v>
      </c>
      <c r="M60" s="28">
        <f t="shared" si="39"/>
        <v>5.2056227999999996</v>
      </c>
      <c r="N60" s="28">
        <f t="shared" si="42"/>
        <v>13.860205161234502</v>
      </c>
      <c r="O60" s="19">
        <v>2.4910999999999999</v>
      </c>
      <c r="P60" s="19">
        <f t="shared" si="43"/>
        <v>5.2595239051021645</v>
      </c>
      <c r="Q60" s="6">
        <v>0.38290000000000002</v>
      </c>
      <c r="R60" s="27">
        <v>0.5353</v>
      </c>
      <c r="S60" s="6">
        <v>4000</v>
      </c>
      <c r="T60" s="27">
        <v>108722</v>
      </c>
      <c r="U60" s="6">
        <f t="shared" si="44"/>
        <v>0.12047125286490282</v>
      </c>
      <c r="AC60" s="2">
        <f t="shared" si="41"/>
        <v>0.23799503829975022</v>
      </c>
      <c r="AD60" s="2">
        <f t="shared" si="41"/>
        <v>0.27084548509088568</v>
      </c>
      <c r="AE60" s="2">
        <f t="shared" si="41"/>
        <v>6.7435940776982908E-2</v>
      </c>
      <c r="AF60" s="2">
        <f t="shared" si="41"/>
        <v>-0.84383987329132104</v>
      </c>
      <c r="AG60" s="2">
        <f t="shared" si="41"/>
        <v>1.6176181450319125</v>
      </c>
      <c r="AH60" s="2">
        <f t="shared" si="41"/>
        <v>1.2172708484117589</v>
      </c>
      <c r="AI60" s="2">
        <f t="shared" si="41"/>
        <v>3.1270432330551649E-3</v>
      </c>
      <c r="AJ60" s="2">
        <f t="shared" si="41"/>
        <v>2.0596263657380221E-3</v>
      </c>
      <c r="AK60" s="2">
        <f t="shared" si="41"/>
        <v>1.717110501115789E-2</v>
      </c>
      <c r="AL60" s="2">
        <f t="shared" si="41"/>
        <v>4.5718840462230619E-2</v>
      </c>
      <c r="AM60" s="2">
        <f t="shared" si="41"/>
        <v>8.2170647656790319E-3</v>
      </c>
      <c r="AN60" s="2">
        <f t="shared" si="41"/>
        <v>1.734890151533924E-2</v>
      </c>
      <c r="AO60" s="2">
        <f t="shared" si="41"/>
        <v>1.2630219978236527E-3</v>
      </c>
      <c r="AP60" s="2">
        <f t="shared" si="41"/>
        <v>1.7657238846565716E-3</v>
      </c>
      <c r="AQ60" s="2">
        <f t="shared" si="41"/>
        <v>13.194275244958503</v>
      </c>
      <c r="AR60" s="2">
        <f t="shared" si="41"/>
        <v>358.6269982955946</v>
      </c>
    </row>
    <row r="61" spans="1:44">
      <c r="B61" s="6" t="s">
        <v>83</v>
      </c>
      <c r="C61" s="35">
        <f>Drawing!N47</f>
        <v>3.4466820903256267E-3</v>
      </c>
      <c r="D61" s="6" t="s">
        <v>82</v>
      </c>
      <c r="E61" s="18">
        <v>72.150999999999996</v>
      </c>
      <c r="F61" s="18">
        <v>96.91</v>
      </c>
      <c r="G61" s="6">
        <v>15.574999999999999</v>
      </c>
      <c r="H61" s="20">
        <v>-201.51</v>
      </c>
      <c r="I61" s="20">
        <v>488.6</v>
      </c>
      <c r="J61" s="20">
        <v>385.6</v>
      </c>
      <c r="K61" s="19">
        <v>0.94199999999999995</v>
      </c>
      <c r="L61" s="30">
        <v>0.63109999999999999</v>
      </c>
      <c r="M61" s="28">
        <f t="shared" si="39"/>
        <v>5.2614806999999999</v>
      </c>
      <c r="N61" s="28">
        <f t="shared" si="42"/>
        <v>13.713059899659044</v>
      </c>
      <c r="O61" s="19">
        <v>2.4910999999999999</v>
      </c>
      <c r="P61" s="19">
        <f t="shared" si="43"/>
        <v>5.2595239051021645</v>
      </c>
      <c r="Q61" s="6">
        <v>0.39900000000000002</v>
      </c>
      <c r="R61" s="27">
        <v>0.54800000000000004</v>
      </c>
      <c r="S61" s="6">
        <v>4008</v>
      </c>
      <c r="T61" s="27">
        <v>110071</v>
      </c>
      <c r="U61" s="6">
        <f t="shared" si="44"/>
        <v>0.12454428974892585</v>
      </c>
      <c r="AC61" s="2">
        <f t="shared" si="41"/>
        <v>0.24868155949908427</v>
      </c>
      <c r="AD61" s="2">
        <f t="shared" si="41"/>
        <v>0.33401796137345646</v>
      </c>
      <c r="AE61" s="2">
        <f t="shared" si="41"/>
        <v>5.3682073556821634E-2</v>
      </c>
      <c r="AF61" s="2">
        <f t="shared" si="41"/>
        <v>-0.69454090802151702</v>
      </c>
      <c r="AG61" s="2">
        <f t="shared" si="41"/>
        <v>1.6840488693331013</v>
      </c>
      <c r="AH61" s="2">
        <f t="shared" si="41"/>
        <v>1.3290406140295616</v>
      </c>
      <c r="AI61" s="2">
        <f t="shared" si="41"/>
        <v>3.2467745290867401E-3</v>
      </c>
      <c r="AJ61" s="2">
        <f t="shared" si="41"/>
        <v>2.1752010672045031E-3</v>
      </c>
      <c r="AK61" s="2">
        <f t="shared" si="41"/>
        <v>1.8134651297283942E-2</v>
      </c>
      <c r="AL61" s="2">
        <f t="shared" si="41"/>
        <v>4.726455795971736E-2</v>
      </c>
      <c r="AM61" s="2">
        <f t="shared" si="41"/>
        <v>8.5860297552101689E-3</v>
      </c>
      <c r="AN61" s="2">
        <f t="shared" si="41"/>
        <v>1.8127906847355133E-2</v>
      </c>
      <c r="AO61" s="2">
        <f t="shared" si="41"/>
        <v>1.3752261540399251E-3</v>
      </c>
      <c r="AP61" s="2">
        <f t="shared" si="41"/>
        <v>1.8887817854984436E-3</v>
      </c>
      <c r="AQ61" s="2">
        <f t="shared" si="41"/>
        <v>13.814301818025111</v>
      </c>
      <c r="AR61" s="2">
        <f t="shared" si="41"/>
        <v>379.37974436423207</v>
      </c>
    </row>
    <row r="62" spans="1:44">
      <c r="B62" s="6" t="s">
        <v>84</v>
      </c>
      <c r="C62" s="35">
        <f>Drawing!N48</f>
        <v>3.6631181082196441E-3</v>
      </c>
      <c r="D62" s="6" t="s">
        <v>85</v>
      </c>
      <c r="E62" s="18">
        <v>86.177999999999997</v>
      </c>
      <c r="F62" s="18">
        <v>155.72999999999999</v>
      </c>
      <c r="G62" s="6">
        <v>4.96</v>
      </c>
      <c r="H62" s="20">
        <v>-139.58000000000001</v>
      </c>
      <c r="I62" s="20">
        <v>710.4</v>
      </c>
      <c r="J62" s="20">
        <v>453.6</v>
      </c>
      <c r="K62" s="19">
        <v>0.91</v>
      </c>
      <c r="L62" s="30">
        <v>0.66400000000000003</v>
      </c>
      <c r="M62" s="28">
        <f t="shared" si="39"/>
        <v>5.535768</v>
      </c>
      <c r="N62" s="28">
        <f t="shared" si="42"/>
        <v>15.567487654829465</v>
      </c>
      <c r="O62" s="19">
        <v>2.9752999999999998</v>
      </c>
      <c r="P62" s="19">
        <f t="shared" si="43"/>
        <v>4.4035895539945553</v>
      </c>
      <c r="Q62" s="6">
        <v>0.38569999999999999</v>
      </c>
      <c r="R62" s="27">
        <v>0.53320000000000001</v>
      </c>
      <c r="S62" s="6">
        <v>4756</v>
      </c>
      <c r="T62" s="27">
        <v>115055</v>
      </c>
      <c r="U62" s="6">
        <f t="shared" si="44"/>
        <v>0.15026494315649952</v>
      </c>
      <c r="AC62" s="2">
        <f t="shared" si="41"/>
        <v>0.31568019233015249</v>
      </c>
      <c r="AD62" s="2">
        <f t="shared" si="41"/>
        <v>0.57045738299304516</v>
      </c>
      <c r="AE62" s="2">
        <f t="shared" si="41"/>
        <v>1.8169065816769435E-2</v>
      </c>
      <c r="AF62" s="2">
        <f t="shared" si="41"/>
        <v>-0.51129802554529802</v>
      </c>
      <c r="AG62" s="2">
        <f t="shared" si="41"/>
        <v>2.6022791040792352</v>
      </c>
      <c r="AH62" s="2">
        <f t="shared" si="41"/>
        <v>1.6615903738884306</v>
      </c>
      <c r="AI62" s="2">
        <f t="shared" si="41"/>
        <v>3.3334374784798762E-3</v>
      </c>
      <c r="AJ62" s="2">
        <f t="shared" si="41"/>
        <v>2.4323104238578438E-3</v>
      </c>
      <c r="AK62" s="2">
        <f t="shared" si="41"/>
        <v>2.0278172003702844E-2</v>
      </c>
      <c r="AL62" s="2">
        <f t="shared" si="41"/>
        <v>5.7025545927891573E-2</v>
      </c>
      <c r="AM62" s="2">
        <f t="shared" si="41"/>
        <v>1.0898875307385907E-2</v>
      </c>
      <c r="AN62" s="2">
        <f t="shared" si="41"/>
        <v>1.6130868636404321E-2</v>
      </c>
      <c r="AO62" s="2">
        <f t="shared" si="41"/>
        <v>1.4128646543403167E-3</v>
      </c>
      <c r="AP62" s="2">
        <f t="shared" si="41"/>
        <v>1.9531745753027141E-3</v>
      </c>
      <c r="AQ62" s="2">
        <f t="shared" si="41"/>
        <v>17.421789722692626</v>
      </c>
      <c r="AR62" s="2">
        <f t="shared" si="41"/>
        <v>421.46005394121113</v>
      </c>
    </row>
    <row r="63" spans="1:44">
      <c r="B63" s="6" t="s">
        <v>86</v>
      </c>
      <c r="C63" s="35">
        <f>Drawing!N49</f>
        <v>1.4455453802334921E-5</v>
      </c>
      <c r="D63" s="6" t="s">
        <v>87</v>
      </c>
      <c r="E63" s="18">
        <v>78.114000000000004</v>
      </c>
      <c r="F63" s="18">
        <v>176.16</v>
      </c>
      <c r="G63" s="6">
        <v>3.2250000000000001</v>
      </c>
      <c r="H63" s="20">
        <v>41.96</v>
      </c>
      <c r="I63" s="20">
        <v>710.4</v>
      </c>
      <c r="J63" s="20">
        <v>552.22</v>
      </c>
      <c r="K63" s="19">
        <v>0.92900000000000005</v>
      </c>
      <c r="L63" s="30">
        <v>0.88449999999999995</v>
      </c>
      <c r="M63" s="28">
        <f t="shared" si="39"/>
        <v>7.3740764999999993</v>
      </c>
      <c r="N63" s="28">
        <f t="shared" si="42"/>
        <v>10.593055279532292</v>
      </c>
      <c r="O63" s="19">
        <v>2.6968999999999999</v>
      </c>
      <c r="P63" s="19">
        <f t="shared" si="43"/>
        <v>4.8581704920464244</v>
      </c>
      <c r="Q63" s="6">
        <v>0.2422</v>
      </c>
      <c r="R63" s="27">
        <v>0.4098</v>
      </c>
      <c r="S63" s="6">
        <v>3741</v>
      </c>
      <c r="T63" s="27">
        <v>132651</v>
      </c>
      <c r="U63" s="6">
        <f t="shared" si="44"/>
        <v>4.0349781612347582E-4</v>
      </c>
      <c r="AC63" s="2">
        <f t="shared" si="41"/>
        <v>1.1291733183155901E-3</v>
      </c>
      <c r="AD63" s="2">
        <f t="shared" si="41"/>
        <v>2.5464727418193197E-3</v>
      </c>
      <c r="AE63" s="2">
        <f t="shared" si="41"/>
        <v>4.6618838512530121E-5</v>
      </c>
      <c r="AF63" s="2">
        <f t="shared" si="41"/>
        <v>6.0655084154597329E-4</v>
      </c>
      <c r="AG63" s="2">
        <f t="shared" si="41"/>
        <v>1.0269154381178728E-2</v>
      </c>
      <c r="AH63" s="2">
        <f t="shared" si="41"/>
        <v>7.9825906987253913E-3</v>
      </c>
      <c r="AI63" s="2">
        <f t="shared" si="41"/>
        <v>1.3429116582369143E-5</v>
      </c>
      <c r="AJ63" s="2">
        <f t="shared" si="41"/>
        <v>1.2785848888165237E-5</v>
      </c>
      <c r="AK63" s="2">
        <f t="shared" si="41"/>
        <v>1.0659562218063357E-4</v>
      </c>
      <c r="AL63" s="2">
        <f t="shared" si="41"/>
        <v>1.5312742121885908E-4</v>
      </c>
      <c r="AM63" s="2">
        <f t="shared" si="41"/>
        <v>3.8984913359517045E-5</v>
      </c>
      <c r="AN63" s="2">
        <f t="shared" si="41"/>
        <v>7.0227059111643793E-5</v>
      </c>
      <c r="AO63" s="2">
        <f t="shared" si="41"/>
        <v>3.501110910925518E-6</v>
      </c>
      <c r="AP63" s="2">
        <f t="shared" si="41"/>
        <v>5.9238449681968509E-6</v>
      </c>
      <c r="AQ63" s="2">
        <f t="shared" si="41"/>
        <v>5.4077852674534937E-2</v>
      </c>
      <c r="AR63" s="2">
        <f t="shared" si="41"/>
        <v>1.9175304023335296</v>
      </c>
    </row>
    <row r="64" spans="1:44">
      <c r="B64" s="6" t="s">
        <v>88</v>
      </c>
      <c r="C64" s="35">
        <f>C63/4</f>
        <v>3.6138634505837302E-6</v>
      </c>
      <c r="D64" s="6" t="s">
        <v>89</v>
      </c>
      <c r="E64" s="18">
        <v>92.141000000000005</v>
      </c>
      <c r="F64" s="18">
        <v>231.13</v>
      </c>
      <c r="G64" s="6">
        <v>1.0029999999999999</v>
      </c>
      <c r="H64" s="20">
        <v>-138.97999999999999</v>
      </c>
      <c r="I64" s="20">
        <v>595.5</v>
      </c>
      <c r="J64" s="20">
        <v>605.57000000000005</v>
      </c>
      <c r="K64" s="19">
        <v>0.90300000000000002</v>
      </c>
      <c r="L64" s="30">
        <v>0.87190000000000001</v>
      </c>
      <c r="M64" s="28">
        <f t="shared" si="39"/>
        <v>7.2690302999999998</v>
      </c>
      <c r="N64" s="28">
        <f t="shared" si="42"/>
        <v>12.675831052733404</v>
      </c>
      <c r="O64" s="19">
        <v>3.1812</v>
      </c>
      <c r="P64" s="19">
        <f t="shared" si="43"/>
        <v>4.118571608198164</v>
      </c>
      <c r="Q64" s="6">
        <v>0.25979999999999998</v>
      </c>
      <c r="R64" s="27">
        <v>0.40089999999999998</v>
      </c>
      <c r="S64" s="6">
        <v>4475</v>
      </c>
      <c r="T64" s="27">
        <v>132659</v>
      </c>
      <c r="U64" s="6">
        <f t="shared" si="44"/>
        <v>1.2070809630368257E-4</v>
      </c>
      <c r="AC64" s="2">
        <f t="shared" si="41"/>
        <v>3.3298499220023553E-4</v>
      </c>
      <c r="AD64" s="2">
        <f t="shared" si="41"/>
        <v>8.3527225933341756E-4</v>
      </c>
      <c r="AE64" s="2">
        <f t="shared" si="41"/>
        <v>3.6247050409354808E-6</v>
      </c>
      <c r="AF64" s="2">
        <f t="shared" si="41"/>
        <v>-5.0225474236212679E-4</v>
      </c>
      <c r="AG64" s="2">
        <f t="shared" si="41"/>
        <v>2.1520556848226113E-3</v>
      </c>
      <c r="AH64" s="2">
        <f t="shared" si="41"/>
        <v>2.1884472897699897E-3</v>
      </c>
      <c r="AI64" s="2">
        <f t="shared" si="41"/>
        <v>3.2633186958771084E-6</v>
      </c>
      <c r="AJ64" s="2">
        <f t="shared" si="41"/>
        <v>3.1509275425639545E-6</v>
      </c>
      <c r="AK64" s="2">
        <f t="shared" si="41"/>
        <v>2.6269282922355688E-5</v>
      </c>
      <c r="AL64" s="2">
        <f t="shared" si="41"/>
        <v>4.5808722547247537E-5</v>
      </c>
      <c r="AM64" s="2">
        <f t="shared" si="41"/>
        <v>1.1496422408996963E-5</v>
      </c>
      <c r="AN64" s="2">
        <f t="shared" si="41"/>
        <v>1.48839554034792E-5</v>
      </c>
      <c r="AO64" s="2">
        <f t="shared" si="41"/>
        <v>9.3888172446165297E-7</v>
      </c>
      <c r="AP64" s="2">
        <f t="shared" si="41"/>
        <v>1.4487978573390173E-6</v>
      </c>
      <c r="AQ64" s="2">
        <f t="shared" si="41"/>
        <v>1.6172038941362193E-2</v>
      </c>
      <c r="AR64" s="2">
        <f t="shared" si="41"/>
        <v>0.47941151149098704</v>
      </c>
    </row>
    <row r="65" spans="1:44">
      <c r="B65" s="6" t="s">
        <v>90</v>
      </c>
      <c r="C65" s="35">
        <f>C64</f>
        <v>3.6138634505837302E-6</v>
      </c>
      <c r="D65" s="6" t="s">
        <v>91</v>
      </c>
      <c r="E65" s="18">
        <v>106.16800000000001</v>
      </c>
      <c r="F65" s="18">
        <v>277.16000000000003</v>
      </c>
      <c r="G65" s="6">
        <v>0.37159999999999999</v>
      </c>
      <c r="H65" s="20">
        <v>-138.96</v>
      </c>
      <c r="I65" s="20">
        <v>523.4</v>
      </c>
      <c r="J65" s="20">
        <v>651.29</v>
      </c>
      <c r="K65" s="19"/>
      <c r="L65" s="30">
        <v>0.87170000000000003</v>
      </c>
      <c r="M65" s="28">
        <f t="shared" si="39"/>
        <v>7.2673629000000002</v>
      </c>
      <c r="N65" s="28">
        <f t="shared" si="42"/>
        <v>14.608875524848223</v>
      </c>
      <c r="O65" s="19">
        <v>3.6655000000000002</v>
      </c>
      <c r="P65" s="19">
        <f t="shared" si="43"/>
        <v>3.5744100395580412</v>
      </c>
      <c r="Q65" s="6">
        <v>0.27950000000000003</v>
      </c>
      <c r="R65" s="27">
        <v>0.4113</v>
      </c>
      <c r="S65" s="6">
        <v>5222</v>
      </c>
      <c r="T65" s="27">
        <v>134381</v>
      </c>
      <c r="U65" s="6">
        <f t="shared" si="44"/>
        <v>1.3911589278887011E-4</v>
      </c>
      <c r="AC65" s="2">
        <f t="shared" si="41"/>
        <v>3.8367665482157349E-4</v>
      </c>
      <c r="AD65" s="2">
        <f t="shared" si="41"/>
        <v>1.0016183939637868E-3</v>
      </c>
      <c r="AE65" s="2">
        <f t="shared" si="41"/>
        <v>1.3429116582369141E-6</v>
      </c>
      <c r="AF65" s="2">
        <f t="shared" si="41"/>
        <v>-5.0218246509311517E-4</v>
      </c>
      <c r="AG65" s="2">
        <f t="shared" si="41"/>
        <v>1.8914961300355243E-3</v>
      </c>
      <c r="AH65" s="2">
        <f t="shared" si="41"/>
        <v>2.3536731267306777E-3</v>
      </c>
      <c r="AI65" s="2">
        <f t="shared" si="41"/>
        <v>0</v>
      </c>
      <c r="AJ65" s="2">
        <f t="shared" si="41"/>
        <v>3.1502047698738379E-6</v>
      </c>
      <c r="AK65" s="2">
        <f t="shared" si="41"/>
        <v>2.6263257166438185E-5</v>
      </c>
      <c r="AL65" s="2">
        <f t="shared" si="41"/>
        <v>5.2794481313376202E-5</v>
      </c>
      <c r="AM65" s="2">
        <f t="shared" si="41"/>
        <v>1.3246616478114664E-5</v>
      </c>
      <c r="AN65" s="2">
        <f t="shared" si="41"/>
        <v>1.291742979935835E-5</v>
      </c>
      <c r="AO65" s="2">
        <f t="shared" si="41"/>
        <v>1.0100748344381526E-6</v>
      </c>
      <c r="AP65" s="2">
        <f t="shared" si="41"/>
        <v>1.4863820372250882E-6</v>
      </c>
      <c r="AQ65" s="2">
        <f t="shared" si="41"/>
        <v>1.8871594938948241E-2</v>
      </c>
      <c r="AR65" s="2">
        <f t="shared" si="41"/>
        <v>0.48563458435289225</v>
      </c>
    </row>
    <row r="66" spans="1:44">
      <c r="B66" s="6" t="s">
        <v>92</v>
      </c>
      <c r="C66" s="35">
        <f>C65</f>
        <v>3.6138634505837302E-6</v>
      </c>
      <c r="D66" s="6" t="s">
        <v>93</v>
      </c>
      <c r="E66" s="18">
        <v>106.16800000000001</v>
      </c>
      <c r="F66" s="18">
        <v>291.97000000000003</v>
      </c>
      <c r="G66" s="6">
        <v>0.26429999999999998</v>
      </c>
      <c r="H66" s="20">
        <v>-13.32</v>
      </c>
      <c r="I66" s="20">
        <v>541.6</v>
      </c>
      <c r="J66" s="20">
        <v>674.92</v>
      </c>
      <c r="K66" s="19"/>
      <c r="L66" s="30">
        <v>0.88470000000000004</v>
      </c>
      <c r="M66" s="28">
        <f t="shared" si="39"/>
        <v>7.3757438999999998</v>
      </c>
      <c r="N66" s="28">
        <f t="shared" si="42"/>
        <v>14.394209104792807</v>
      </c>
      <c r="O66" s="19">
        <v>3.6655000000000002</v>
      </c>
      <c r="P66" s="19">
        <f t="shared" si="43"/>
        <v>3.5744100395580412</v>
      </c>
      <c r="Q66" s="6">
        <v>0.29139999999999999</v>
      </c>
      <c r="R66" s="27">
        <v>0.41610000000000003</v>
      </c>
      <c r="S66" s="6">
        <v>5209</v>
      </c>
      <c r="T66" s="27">
        <v>136036</v>
      </c>
      <c r="U66" s="6">
        <f t="shared" si="44"/>
        <v>1.3707168954906528E-4</v>
      </c>
      <c r="AC66" s="2">
        <f t="shared" si="41"/>
        <v>3.8367665482157349E-4</v>
      </c>
      <c r="AD66" s="2">
        <f t="shared" si="41"/>
        <v>1.0551397116669318E-3</v>
      </c>
      <c r="AE66" s="2">
        <f t="shared" si="41"/>
        <v>9.5514410998927984E-7</v>
      </c>
      <c r="AF66" s="2">
        <f t="shared" si="41"/>
        <v>-4.8136661161775286E-5</v>
      </c>
      <c r="AG66" s="2">
        <f t="shared" si="41"/>
        <v>1.9572684448361482E-3</v>
      </c>
      <c r="AH66" s="2">
        <f t="shared" si="41"/>
        <v>2.4390687200679709E-3</v>
      </c>
      <c r="AI66" s="2">
        <f t="shared" si="41"/>
        <v>0</v>
      </c>
      <c r="AJ66" s="2">
        <f t="shared" si="41"/>
        <v>3.1971849947314261E-6</v>
      </c>
      <c r="AK66" s="2">
        <f t="shared" si="41"/>
        <v>2.6654931301075899E-5</v>
      </c>
      <c r="AL66" s="2">
        <f t="shared" si="41"/>
        <v>5.201870618387028E-5</v>
      </c>
      <c r="AM66" s="2">
        <f t="shared" si="41"/>
        <v>1.3246616478114664E-5</v>
      </c>
      <c r="AN66" s="2">
        <f t="shared" si="41"/>
        <v>1.291742979935835E-5</v>
      </c>
      <c r="AO66" s="2">
        <f t="shared" si="41"/>
        <v>1.0530798095000989E-6</v>
      </c>
      <c r="AP66" s="2">
        <f t="shared" si="41"/>
        <v>1.5037285817878903E-6</v>
      </c>
      <c r="AQ66" s="2">
        <f t="shared" si="41"/>
        <v>1.8824614714090651E-2</v>
      </c>
      <c r="AR66" s="2">
        <f t="shared" si="41"/>
        <v>0.49161552836360833</v>
      </c>
    </row>
    <row r="67" spans="1:44">
      <c r="B67" s="6" t="s">
        <v>1</v>
      </c>
      <c r="C67" s="35">
        <v>0</v>
      </c>
      <c r="D67" s="6" t="s">
        <v>94</v>
      </c>
      <c r="E67" s="18">
        <v>18.015000000000001</v>
      </c>
      <c r="F67" s="18">
        <v>212</v>
      </c>
      <c r="G67" s="6">
        <v>0.94950000000000001</v>
      </c>
      <c r="H67" s="20">
        <v>32</v>
      </c>
      <c r="I67" s="20">
        <v>3207.9</v>
      </c>
      <c r="J67" s="20">
        <v>705.5</v>
      </c>
      <c r="K67" s="19">
        <v>0.34339999999999998</v>
      </c>
      <c r="L67" s="30">
        <v>1</v>
      </c>
      <c r="M67" s="28">
        <v>8.3369999999999997</v>
      </c>
      <c r="N67" s="28">
        <f t="shared" si="42"/>
        <v>2.1608492263404102</v>
      </c>
      <c r="O67" s="19">
        <v>0.62180000000000002</v>
      </c>
      <c r="P67" s="19">
        <f t="shared" si="43"/>
        <v>21.071083949823095</v>
      </c>
      <c r="Q67" s="6">
        <v>0.44469999999999998</v>
      </c>
      <c r="R67" s="27">
        <v>1.0009999999999999</v>
      </c>
      <c r="S67" s="6">
        <v>49</v>
      </c>
      <c r="T67" s="27">
        <v>0</v>
      </c>
      <c r="U67" s="6"/>
      <c r="AC67" s="2">
        <f t="shared" ref="AC67:AR67" si="45">E67*$C67</f>
        <v>0</v>
      </c>
      <c r="AD67" s="2">
        <f t="shared" si="45"/>
        <v>0</v>
      </c>
      <c r="AE67" s="2">
        <f t="shared" si="45"/>
        <v>0</v>
      </c>
      <c r="AF67" s="2">
        <f t="shared" si="45"/>
        <v>0</v>
      </c>
      <c r="AG67" s="2">
        <f t="shared" si="45"/>
        <v>0</v>
      </c>
      <c r="AH67" s="2">
        <f t="shared" si="45"/>
        <v>0</v>
      </c>
      <c r="AI67" s="2">
        <f t="shared" si="45"/>
        <v>0</v>
      </c>
      <c r="AJ67" s="2">
        <f t="shared" si="45"/>
        <v>0</v>
      </c>
      <c r="AK67" s="2">
        <f t="shared" si="45"/>
        <v>0</v>
      </c>
      <c r="AL67" s="2">
        <f t="shared" si="45"/>
        <v>0</v>
      </c>
      <c r="AM67" s="2">
        <f t="shared" si="45"/>
        <v>0</v>
      </c>
      <c r="AN67" s="2">
        <f t="shared" si="45"/>
        <v>0</v>
      </c>
      <c r="AO67" s="2">
        <f t="shared" si="45"/>
        <v>0</v>
      </c>
      <c r="AP67" s="2">
        <f t="shared" si="45"/>
        <v>0</v>
      </c>
      <c r="AQ67" s="2">
        <f t="shared" si="45"/>
        <v>0</v>
      </c>
      <c r="AR67" s="2">
        <f t="shared" si="45"/>
        <v>0</v>
      </c>
    </row>
    <row r="68" spans="1:44">
      <c r="B68" s="6" t="s">
        <v>95</v>
      </c>
      <c r="C68" s="35">
        <f>SUM(C52:C67)</f>
        <v>1.0008277334060178</v>
      </c>
      <c r="D68" s="6"/>
      <c r="E68" s="18">
        <f>AC68</f>
        <v>22.165973215372581</v>
      </c>
      <c r="F68" s="18">
        <f t="shared" ref="F68:T68" si="46">AD68</f>
        <v>-217.11975838165503</v>
      </c>
      <c r="G68" s="18">
        <f t="shared" si="46"/>
        <v>3839.0507228822139</v>
      </c>
      <c r="H68" s="18">
        <f t="shared" si="46"/>
        <v>-282.7966080580141</v>
      </c>
      <c r="I68" s="18">
        <f t="shared" si="46"/>
        <v>686.68671365407147</v>
      </c>
      <c r="J68" s="18">
        <f t="shared" si="46"/>
        <v>-55.464121805498543</v>
      </c>
      <c r="K68" s="18">
        <f t="shared" si="46"/>
        <v>0.99590585295717415</v>
      </c>
      <c r="L68" s="28">
        <f t="shared" si="46"/>
        <v>0.36052225100968249</v>
      </c>
      <c r="M68" s="28">
        <f t="shared" si="46"/>
        <v>3.0056740066677232</v>
      </c>
      <c r="N68" s="28">
        <f t="shared" si="46"/>
        <v>7.1994498958710933</v>
      </c>
      <c r="O68" s="145">
        <f>E68/28.96</f>
        <v>0.76539962760264435</v>
      </c>
      <c r="P68" s="19">
        <f t="shared" si="43"/>
        <v>17.117855205962911</v>
      </c>
      <c r="Q68" s="18">
        <f t="shared" si="46"/>
        <v>0.48216645133031338</v>
      </c>
      <c r="R68" s="28">
        <f t="shared" si="46"/>
        <v>0.14240973617773892</v>
      </c>
      <c r="S68" s="18">
        <f t="shared" si="46"/>
        <v>1175.6840853057402</v>
      </c>
      <c r="T68" s="28">
        <f t="shared" si="46"/>
        <v>14580.612584444667</v>
      </c>
      <c r="U68" s="18">
        <f>SUM(U56:U66)</f>
        <v>5.2317541412767179</v>
      </c>
      <c r="V68" s="11"/>
      <c r="W68" s="11"/>
      <c r="X68" s="11"/>
      <c r="Y68" s="11"/>
      <c r="Z68" s="11"/>
      <c r="AA68" s="11"/>
      <c r="AC68" s="2">
        <f>SUM(AC52:AC67)</f>
        <v>22.165973215372581</v>
      </c>
      <c r="AD68" s="2">
        <f t="shared" ref="AD68:AR68" si="47">SUM(AD52:AD67)</f>
        <v>-217.11975838165503</v>
      </c>
      <c r="AE68" s="2">
        <f t="shared" si="47"/>
        <v>3839.0507228822139</v>
      </c>
      <c r="AF68" s="2">
        <f t="shared" si="47"/>
        <v>-282.7966080580141</v>
      </c>
      <c r="AG68" s="2">
        <f t="shared" si="47"/>
        <v>686.68671365407147</v>
      </c>
      <c r="AH68" s="2">
        <f t="shared" si="47"/>
        <v>-55.464121805498543</v>
      </c>
      <c r="AI68" s="2">
        <f t="shared" si="47"/>
        <v>0.99590585295717415</v>
      </c>
      <c r="AJ68" s="2">
        <f t="shared" si="47"/>
        <v>0.36052225100968249</v>
      </c>
      <c r="AK68" s="2">
        <f t="shared" si="47"/>
        <v>3.0056740066677232</v>
      </c>
      <c r="AL68" s="2">
        <f t="shared" si="47"/>
        <v>7.1994498958710933</v>
      </c>
      <c r="AM68" s="2">
        <f t="shared" si="47"/>
        <v>0.75866983319013725</v>
      </c>
      <c r="AN68" s="2">
        <f t="shared" si="47"/>
        <v>20.399062702205548</v>
      </c>
      <c r="AO68" s="2">
        <f t="shared" si="47"/>
        <v>0.48216645133031338</v>
      </c>
      <c r="AP68" s="2">
        <f t="shared" si="47"/>
        <v>0.14240973617773892</v>
      </c>
      <c r="AQ68" s="2">
        <f t="shared" si="47"/>
        <v>1175.6840853057402</v>
      </c>
      <c r="AR68" s="2">
        <f t="shared" si="47"/>
        <v>14580.612584444667</v>
      </c>
    </row>
    <row r="70" spans="1:44">
      <c r="A70" s="13" t="s">
        <v>104</v>
      </c>
    </row>
    <row r="71" spans="1:44">
      <c r="C71" s="7" t="s">
        <v>38</v>
      </c>
      <c r="D71" s="7"/>
      <c r="E71" s="7"/>
      <c r="F71" s="7" t="s">
        <v>39</v>
      </c>
      <c r="G71" s="7" t="s">
        <v>40</v>
      </c>
      <c r="H71" s="7" t="s">
        <v>41</v>
      </c>
      <c r="I71" s="7" t="s">
        <v>42</v>
      </c>
      <c r="J71" s="7" t="s">
        <v>43</v>
      </c>
      <c r="K71" s="7"/>
      <c r="L71" s="342" t="s">
        <v>44</v>
      </c>
      <c r="M71" s="343"/>
      <c r="N71" s="344"/>
      <c r="O71" s="350" t="s">
        <v>45</v>
      </c>
      <c r="P71" s="351"/>
      <c r="Q71" s="25" t="s">
        <v>46</v>
      </c>
      <c r="R71" s="7" t="s">
        <v>47</v>
      </c>
      <c r="S71" s="25" t="s">
        <v>48</v>
      </c>
      <c r="T71" s="7" t="s">
        <v>49</v>
      </c>
      <c r="U71" s="25" t="s">
        <v>50</v>
      </c>
    </row>
    <row r="72" spans="1:44">
      <c r="C72" s="8" t="s">
        <v>51</v>
      </c>
      <c r="D72" s="8" t="s">
        <v>52</v>
      </c>
      <c r="E72" s="8" t="s">
        <v>53</v>
      </c>
      <c r="F72" s="17" t="s">
        <v>54</v>
      </c>
      <c r="G72" s="17" t="s">
        <v>55</v>
      </c>
      <c r="H72" s="8" t="s">
        <v>56</v>
      </c>
      <c r="I72" s="8" t="s">
        <v>57</v>
      </c>
      <c r="J72" s="8" t="s">
        <v>58</v>
      </c>
      <c r="K72" s="8" t="s">
        <v>59</v>
      </c>
      <c r="L72" s="6" t="s">
        <v>60</v>
      </c>
      <c r="M72" s="6" t="s">
        <v>61</v>
      </c>
      <c r="N72" s="18" t="s">
        <v>62</v>
      </c>
      <c r="O72" s="30" t="s">
        <v>60</v>
      </c>
      <c r="P72" s="30" t="s">
        <v>63</v>
      </c>
      <c r="Q72" s="29" t="s">
        <v>64</v>
      </c>
      <c r="R72" s="8" t="s">
        <v>64</v>
      </c>
      <c r="S72" s="29" t="s">
        <v>65</v>
      </c>
      <c r="T72" s="8" t="s">
        <v>66</v>
      </c>
      <c r="U72" s="29" t="s">
        <v>67</v>
      </c>
    </row>
    <row r="73" spans="1:44">
      <c r="B73" s="6" t="s">
        <v>68</v>
      </c>
      <c r="C73" s="35">
        <f>Drawing!O38</f>
        <v>6.7985257048677828E-5</v>
      </c>
      <c r="D73" s="6" t="s">
        <v>4</v>
      </c>
      <c r="E73" s="18">
        <v>28.013000000000002</v>
      </c>
      <c r="F73" s="18">
        <v>-297.33199999999999</v>
      </c>
      <c r="G73" s="6"/>
      <c r="H73" s="20">
        <v>-346</v>
      </c>
      <c r="I73" s="20">
        <v>493</v>
      </c>
      <c r="J73" s="20">
        <v>-232.7</v>
      </c>
      <c r="K73" s="19">
        <v>0.99997000000000003</v>
      </c>
      <c r="L73" s="19">
        <v>0.80940000000000001</v>
      </c>
      <c r="M73" s="18">
        <f>L73*$M$24</f>
        <v>6.7479677999999996</v>
      </c>
      <c r="N73" s="18">
        <f t="shared" ref="N73:N75" si="48">E73/M73</f>
        <v>4.1513238993226977</v>
      </c>
      <c r="O73" s="30">
        <v>13.547000000000001</v>
      </c>
      <c r="P73" s="30">
        <f>13.102/O73</f>
        <v>0.96715139883369006</v>
      </c>
      <c r="Q73" s="27">
        <v>0.24840000000000001</v>
      </c>
      <c r="R73" s="6"/>
      <c r="S73" s="27"/>
      <c r="T73" s="6"/>
      <c r="U73" s="27"/>
      <c r="AC73" s="2">
        <f t="shared" ref="AC73:AR88" si="49">E73*$C73</f>
        <v>1.9044710057046122E-3</v>
      </c>
      <c r="AD73" s="2">
        <f t="shared" si="49"/>
        <v>-2.0214192448797477E-2</v>
      </c>
      <c r="AE73" s="2">
        <f t="shared" si="49"/>
        <v>0</v>
      </c>
      <c r="AF73" s="2">
        <f t="shared" si="49"/>
        <v>-2.3522898938842528E-2</v>
      </c>
      <c r="AG73" s="2">
        <f t="shared" si="49"/>
        <v>3.3516731724998167E-2</v>
      </c>
      <c r="AH73" s="2">
        <f t="shared" si="49"/>
        <v>-1.5820169315227329E-2</v>
      </c>
      <c r="AI73" s="2">
        <f t="shared" si="49"/>
        <v>6.7983217490966374E-5</v>
      </c>
      <c r="AJ73" s="2">
        <f t="shared" si="49"/>
        <v>5.5027267055199833E-5</v>
      </c>
      <c r="AK73" s="2">
        <f t="shared" si="49"/>
        <v>4.5876232543920102E-4</v>
      </c>
      <c r="AL73" s="2">
        <f t="shared" si="49"/>
        <v>2.8222882238777315E-4</v>
      </c>
      <c r="AM73" s="2">
        <f t="shared" si="49"/>
        <v>9.2099627723843858E-4</v>
      </c>
      <c r="AN73" s="2">
        <f t="shared" si="49"/>
        <v>6.5752036454696754E-5</v>
      </c>
      <c r="AO73" s="2">
        <f t="shared" si="49"/>
        <v>1.6887537850891574E-5</v>
      </c>
      <c r="AP73" s="2">
        <f t="shared" si="49"/>
        <v>0</v>
      </c>
      <c r="AQ73" s="2">
        <f t="shared" si="49"/>
        <v>0</v>
      </c>
      <c r="AR73" s="2">
        <f t="shared" si="49"/>
        <v>0</v>
      </c>
    </row>
    <row r="74" spans="1:44">
      <c r="B74" s="6" t="s">
        <v>69</v>
      </c>
      <c r="C74" s="35">
        <f>Drawing!O39</f>
        <v>3.6366158068126451E-3</v>
      </c>
      <c r="D74" s="6" t="s">
        <v>70</v>
      </c>
      <c r="E74" s="18">
        <v>44.01</v>
      </c>
      <c r="F74" s="18">
        <v>-109.32</v>
      </c>
      <c r="G74" s="6"/>
      <c r="H74" s="20">
        <v>-69.77</v>
      </c>
      <c r="I74" s="20">
        <v>1071</v>
      </c>
      <c r="J74" s="20">
        <v>87.87</v>
      </c>
      <c r="K74" s="19">
        <v>0.99429999999999996</v>
      </c>
      <c r="L74" s="19">
        <v>0.81759999999999999</v>
      </c>
      <c r="M74" s="18">
        <f t="shared" ref="M74:M87" si="50">L74*$M$24</f>
        <v>6.8163311999999996</v>
      </c>
      <c r="N74" s="18">
        <f t="shared" si="48"/>
        <v>6.4565524632957976</v>
      </c>
      <c r="O74" s="30">
        <v>8.6229999999999993</v>
      </c>
      <c r="P74" s="30">
        <f t="shared" ref="P74:P75" si="51">13.102/O74</f>
        <v>1.5194247941551666</v>
      </c>
      <c r="Q74" s="27">
        <v>0.19900000000000001</v>
      </c>
      <c r="R74" s="6"/>
      <c r="S74" s="27"/>
      <c r="T74" s="6"/>
      <c r="U74" s="27"/>
      <c r="AC74" s="2">
        <f t="shared" si="49"/>
        <v>0.16004746165782449</v>
      </c>
      <c r="AD74" s="2">
        <f t="shared" si="49"/>
        <v>-0.39755484000075836</v>
      </c>
      <c r="AE74" s="2">
        <f t="shared" si="49"/>
        <v>0</v>
      </c>
      <c r="AF74" s="2">
        <f t="shared" si="49"/>
        <v>-0.25372668484131822</v>
      </c>
      <c r="AG74" s="2">
        <f t="shared" si="49"/>
        <v>3.8948155290963427</v>
      </c>
      <c r="AH74" s="2">
        <f t="shared" si="49"/>
        <v>0.31954943094462712</v>
      </c>
      <c r="AI74" s="2">
        <f t="shared" si="49"/>
        <v>3.6158870967138127E-3</v>
      </c>
      <c r="AJ74" s="2">
        <f t="shared" si="49"/>
        <v>2.9732970836500185E-3</v>
      </c>
      <c r="AK74" s="2">
        <f t="shared" si="49"/>
        <v>2.4788377786390203E-2</v>
      </c>
      <c r="AL74" s="2">
        <f t="shared" si="49"/>
        <v>2.3480000745536619E-2</v>
      </c>
      <c r="AM74" s="2">
        <f t="shared" si="49"/>
        <v>3.1358538102145436E-2</v>
      </c>
      <c r="AN74" s="2">
        <f t="shared" si="49"/>
        <v>5.5255642236877282E-3</v>
      </c>
      <c r="AO74" s="2">
        <f t="shared" si="49"/>
        <v>7.2368654555571646E-4</v>
      </c>
      <c r="AP74" s="2">
        <f t="shared" si="49"/>
        <v>0</v>
      </c>
      <c r="AQ74" s="2">
        <f t="shared" si="49"/>
        <v>0</v>
      </c>
      <c r="AR74" s="2">
        <f t="shared" si="49"/>
        <v>0</v>
      </c>
    </row>
    <row r="75" spans="1:44">
      <c r="B75" s="6" t="s">
        <v>71</v>
      </c>
      <c r="C75" s="35">
        <f>Drawing!O40</f>
        <v>2.6081604219094173E-7</v>
      </c>
      <c r="D75" s="6" t="s">
        <v>2</v>
      </c>
      <c r="E75" s="18">
        <v>34.076000000000001</v>
      </c>
      <c r="F75" s="18">
        <v>-76.56</v>
      </c>
      <c r="G75" s="6">
        <v>387.1</v>
      </c>
      <c r="H75" s="20">
        <v>-121.58</v>
      </c>
      <c r="I75" s="20">
        <v>1036</v>
      </c>
      <c r="J75" s="20">
        <v>212.6</v>
      </c>
      <c r="K75" s="19">
        <v>0.99029999999999996</v>
      </c>
      <c r="L75" s="19">
        <v>0.78710000000000002</v>
      </c>
      <c r="M75" s="18">
        <f t="shared" si="50"/>
        <v>6.5620526999999997</v>
      </c>
      <c r="N75" s="18">
        <f t="shared" si="48"/>
        <v>5.1928872805303747</v>
      </c>
      <c r="O75" s="30">
        <v>11.135999999999999</v>
      </c>
      <c r="P75" s="30">
        <f t="shared" si="51"/>
        <v>1.1765445402298851</v>
      </c>
      <c r="Q75" s="27">
        <v>0.2379</v>
      </c>
      <c r="R75" s="6">
        <v>0.49680000000000002</v>
      </c>
      <c r="S75" s="27">
        <v>637</v>
      </c>
      <c r="T75" s="6"/>
      <c r="U75" s="27"/>
      <c r="AC75" s="2">
        <f t="shared" si="49"/>
        <v>8.8875674536985301E-6</v>
      </c>
      <c r="AD75" s="2">
        <f t="shared" si="49"/>
        <v>-1.9968076190138501E-5</v>
      </c>
      <c r="AE75" s="2">
        <f t="shared" si="49"/>
        <v>1.0096188993211355E-4</v>
      </c>
      <c r="AF75" s="2">
        <f t="shared" si="49"/>
        <v>-3.1710014409574695E-5</v>
      </c>
      <c r="AG75" s="2">
        <f t="shared" si="49"/>
        <v>2.7020541970981565E-4</v>
      </c>
      <c r="AH75" s="2">
        <f t="shared" si="49"/>
        <v>5.5449490569794209E-5</v>
      </c>
      <c r="AI75" s="2">
        <f t="shared" si="49"/>
        <v>2.582861265816896E-7</v>
      </c>
      <c r="AJ75" s="2">
        <f t="shared" si="49"/>
        <v>2.0528830680849025E-7</v>
      </c>
      <c r="AK75" s="2">
        <f t="shared" si="49"/>
        <v>1.711488613862383E-6</v>
      </c>
      <c r="AL75" s="2">
        <f t="shared" si="49"/>
        <v>1.3543883080516148E-6</v>
      </c>
      <c r="AM75" s="2">
        <f t="shared" si="49"/>
        <v>2.9044474458383269E-6</v>
      </c>
      <c r="AN75" s="2">
        <f t="shared" si="49"/>
        <v>3.0686169044411983E-7</v>
      </c>
      <c r="AO75" s="2">
        <f t="shared" si="49"/>
        <v>6.2048136437225045E-8</v>
      </c>
      <c r="AP75" s="2">
        <f t="shared" si="49"/>
        <v>1.2957340976045985E-7</v>
      </c>
      <c r="AQ75" s="2">
        <f t="shared" si="49"/>
        <v>1.6613981887562989E-4</v>
      </c>
      <c r="AR75" s="2">
        <f t="shared" si="49"/>
        <v>0</v>
      </c>
    </row>
    <row r="76" spans="1:44">
      <c r="B76" s="6" t="s">
        <v>72</v>
      </c>
      <c r="C76" s="35">
        <f>Drawing!O41</f>
        <v>1.0697228210450434E-2</v>
      </c>
      <c r="D76" s="6" t="s">
        <v>73</v>
      </c>
      <c r="E76" s="18">
        <v>16.042999999999999</v>
      </c>
      <c r="F76" s="18">
        <v>-258.7</v>
      </c>
      <c r="G76" s="6">
        <v>5000</v>
      </c>
      <c r="H76" s="20">
        <v>-296.5</v>
      </c>
      <c r="I76" s="20">
        <v>667.8</v>
      </c>
      <c r="J76" s="20">
        <v>-116.68</v>
      </c>
      <c r="K76" s="19">
        <v>0.99809999999999999</v>
      </c>
      <c r="L76" s="19">
        <v>0.3</v>
      </c>
      <c r="M76" s="18">
        <f t="shared" si="50"/>
        <v>2.5010999999999997</v>
      </c>
      <c r="N76" s="18">
        <f>E76/M76</f>
        <v>6.4143776738235179</v>
      </c>
      <c r="O76" s="30">
        <v>0.55389999999999995</v>
      </c>
      <c r="P76" s="30">
        <f>13.102/O76</f>
        <v>23.654089185773607</v>
      </c>
      <c r="Q76" s="27">
        <v>0.52659999999999996</v>
      </c>
      <c r="R76" s="6"/>
      <c r="S76" s="27">
        <v>1009.7</v>
      </c>
      <c r="T76" s="6"/>
      <c r="U76" s="27"/>
      <c r="AC76" s="2">
        <f t="shared" si="49"/>
        <v>0.1716156321802563</v>
      </c>
      <c r="AD76" s="2">
        <f t="shared" si="49"/>
        <v>-2.7673729380435272</v>
      </c>
      <c r="AE76" s="2">
        <f t="shared" si="49"/>
        <v>53.486141052252172</v>
      </c>
      <c r="AF76" s="2">
        <f t="shared" si="49"/>
        <v>-3.1717281643985538</v>
      </c>
      <c r="AG76" s="2">
        <f t="shared" si="49"/>
        <v>7.1436089989387996</v>
      </c>
      <c r="AH76" s="2">
        <f t="shared" si="49"/>
        <v>-1.2481525875953567</v>
      </c>
      <c r="AI76" s="2">
        <f t="shared" si="49"/>
        <v>1.0676903476850578E-2</v>
      </c>
      <c r="AJ76" s="2">
        <f t="shared" si="49"/>
        <v>3.2091684631351302E-3</v>
      </c>
      <c r="AK76" s="2">
        <f t="shared" si="49"/>
        <v>2.6754837477157577E-2</v>
      </c>
      <c r="AL76" s="2">
        <f t="shared" si="49"/>
        <v>6.8616061804908368E-2</v>
      </c>
      <c r="AM76" s="2">
        <f t="shared" si="49"/>
        <v>5.9251947057684948E-3</v>
      </c>
      <c r="AN76" s="2">
        <f t="shared" si="49"/>
        <v>0.25303319013056796</v>
      </c>
      <c r="AO76" s="2">
        <f t="shared" si="49"/>
        <v>5.6331603756231982E-3</v>
      </c>
      <c r="AP76" s="2">
        <f t="shared" si="49"/>
        <v>0</v>
      </c>
      <c r="AQ76" s="2">
        <f t="shared" si="49"/>
        <v>10.800991324091804</v>
      </c>
      <c r="AR76" s="2">
        <f t="shared" si="49"/>
        <v>0</v>
      </c>
    </row>
    <row r="77" spans="1:44">
      <c r="B77" s="6" t="s">
        <v>74</v>
      </c>
      <c r="C77" s="35">
        <f>Drawing!O42</f>
        <v>1.057650058930463E-2</v>
      </c>
      <c r="D77" s="6" t="s">
        <v>75</v>
      </c>
      <c r="E77" s="18">
        <v>30.7</v>
      </c>
      <c r="F77" s="18">
        <v>-127.44</v>
      </c>
      <c r="G77" s="6">
        <v>800</v>
      </c>
      <c r="H77" s="20">
        <v>-297.04000000000002</v>
      </c>
      <c r="I77" s="20">
        <v>707.8</v>
      </c>
      <c r="J77" s="20">
        <v>90.1</v>
      </c>
      <c r="K77" s="19">
        <v>0.99609999999999999</v>
      </c>
      <c r="L77" s="19">
        <v>0.35630000000000001</v>
      </c>
      <c r="M77" s="18">
        <f t="shared" si="50"/>
        <v>2.9704731</v>
      </c>
      <c r="N77" s="18">
        <f t="shared" ref="N77:N88" si="52">E77/M77</f>
        <v>10.335054035668595</v>
      </c>
      <c r="O77" s="30">
        <v>1.0382</v>
      </c>
      <c r="P77" s="30">
        <f t="shared" ref="P77:P88" si="53">13.102/O77</f>
        <v>12.619919090733962</v>
      </c>
      <c r="Q77" s="27">
        <v>0.40799999999999997</v>
      </c>
      <c r="R77" s="6">
        <v>0.92559999999999998</v>
      </c>
      <c r="S77" s="27">
        <v>1768</v>
      </c>
      <c r="T77" s="6">
        <v>65889</v>
      </c>
      <c r="U77" s="27">
        <f>N77*C77/100/0.3795</f>
        <v>2.8803347852106478E-3</v>
      </c>
      <c r="AC77" s="2">
        <f t="shared" si="49"/>
        <v>0.32469856809165215</v>
      </c>
      <c r="AD77" s="2">
        <f t="shared" si="49"/>
        <v>-1.347869235100982</v>
      </c>
      <c r="AE77" s="2">
        <f t="shared" si="49"/>
        <v>8.4612004714437035</v>
      </c>
      <c r="AF77" s="2">
        <f t="shared" si="49"/>
        <v>-3.1416437350470474</v>
      </c>
      <c r="AG77" s="2">
        <f t="shared" si="49"/>
        <v>7.4860471171098171</v>
      </c>
      <c r="AH77" s="2">
        <f t="shared" si="49"/>
        <v>0.9529427030963471</v>
      </c>
      <c r="AI77" s="2">
        <f t="shared" si="49"/>
        <v>1.0535252237006342E-2</v>
      </c>
      <c r="AJ77" s="2">
        <f t="shared" si="49"/>
        <v>3.7684071599692398E-3</v>
      </c>
      <c r="AK77" s="2">
        <f t="shared" si="49"/>
        <v>3.141721049266355E-2</v>
      </c>
      <c r="AL77" s="2">
        <f t="shared" si="49"/>
        <v>0.10930870509874409</v>
      </c>
      <c r="AM77" s="2">
        <f t="shared" si="49"/>
        <v>1.0980522911816067E-2</v>
      </c>
      <c r="AN77" s="2">
        <f t="shared" si="49"/>
        <v>0.13347458170012449</v>
      </c>
      <c r="AO77" s="2">
        <f t="shared" si="49"/>
        <v>4.3152122404362886E-3</v>
      </c>
      <c r="AP77" s="2">
        <f t="shared" si="49"/>
        <v>9.7896089454603662E-3</v>
      </c>
      <c r="AQ77" s="2">
        <f t="shared" si="49"/>
        <v>18.699253041890586</v>
      </c>
      <c r="AR77" s="2">
        <f t="shared" si="49"/>
        <v>696.87504732869274</v>
      </c>
    </row>
    <row r="78" spans="1:44">
      <c r="B78" s="6" t="s">
        <v>76</v>
      </c>
      <c r="C78" s="35">
        <f>Drawing!O43</f>
        <v>2.1046885827424953E-2</v>
      </c>
      <c r="D78" s="6" t="s">
        <v>77</v>
      </c>
      <c r="E78" s="18">
        <v>44.097000000000001</v>
      </c>
      <c r="F78" s="18">
        <v>-43.73</v>
      </c>
      <c r="G78" s="6">
        <v>188</v>
      </c>
      <c r="H78" s="20">
        <v>-305.82</v>
      </c>
      <c r="I78" s="20">
        <v>616.29999999999995</v>
      </c>
      <c r="J78" s="20">
        <v>206.1</v>
      </c>
      <c r="K78" s="19">
        <v>0.98080000000000001</v>
      </c>
      <c r="L78" s="19">
        <v>0.50749999999999995</v>
      </c>
      <c r="M78" s="18">
        <f t="shared" si="50"/>
        <v>4.2310274999999997</v>
      </c>
      <c r="N78" s="18">
        <f t="shared" si="52"/>
        <v>10.422291039233379</v>
      </c>
      <c r="O78" s="30">
        <v>1.5225</v>
      </c>
      <c r="P78" s="30">
        <f t="shared" si="53"/>
        <v>8.6055829228243024</v>
      </c>
      <c r="Q78" s="27">
        <v>0.38869999999999999</v>
      </c>
      <c r="R78" s="6">
        <v>0.59019999999999995</v>
      </c>
      <c r="S78" s="27">
        <v>2517</v>
      </c>
      <c r="T78" s="6">
        <v>90962</v>
      </c>
      <c r="U78" s="27">
        <f t="shared" ref="U78:U87" si="54">N78*C78/100/0.3795</f>
        <v>5.7801520306439815E-3</v>
      </c>
      <c r="AC78" s="2">
        <f t="shared" si="49"/>
        <v>0.92810452433195811</v>
      </c>
      <c r="AD78" s="2">
        <f t="shared" si="49"/>
        <v>-0.92038031723329317</v>
      </c>
      <c r="AE78" s="2">
        <f t="shared" si="49"/>
        <v>3.9568145355558912</v>
      </c>
      <c r="AF78" s="2">
        <f t="shared" si="49"/>
        <v>-6.4365586237430987</v>
      </c>
      <c r="AG78" s="2">
        <f t="shared" si="49"/>
        <v>12.971195735441997</v>
      </c>
      <c r="AH78" s="2">
        <f t="shared" si="49"/>
        <v>4.3377631690322822</v>
      </c>
      <c r="AI78" s="2">
        <f t="shared" si="49"/>
        <v>2.0642785619538393E-2</v>
      </c>
      <c r="AJ78" s="2">
        <f t="shared" si="49"/>
        <v>1.0681294557418163E-2</v>
      </c>
      <c r="AK78" s="2">
        <f t="shared" si="49"/>
        <v>8.9049952725195225E-2</v>
      </c>
      <c r="AL78" s="2">
        <f t="shared" si="49"/>
        <v>0.21935676956293909</v>
      </c>
      <c r="AM78" s="2">
        <f t="shared" si="49"/>
        <v>3.204388367225449E-2</v>
      </c>
      <c r="AN78" s="2">
        <f t="shared" si="49"/>
        <v>0.18112072125512102</v>
      </c>
      <c r="AO78" s="2">
        <f t="shared" si="49"/>
        <v>8.1809245211200785E-3</v>
      </c>
      <c r="AP78" s="2">
        <f t="shared" si="49"/>
        <v>1.2421872015346206E-2</v>
      </c>
      <c r="AQ78" s="2">
        <f t="shared" si="49"/>
        <v>52.975011627628604</v>
      </c>
      <c r="AR78" s="2">
        <f t="shared" si="49"/>
        <v>1914.4668286342285</v>
      </c>
    </row>
    <row r="79" spans="1:44">
      <c r="B79" s="6" t="s">
        <v>78</v>
      </c>
      <c r="C79" s="35">
        <f>Drawing!O44</f>
        <v>7.3686696657243728E-3</v>
      </c>
      <c r="D79" s="6" t="s">
        <v>79</v>
      </c>
      <c r="E79" s="18">
        <v>58.124000000000002</v>
      </c>
      <c r="F79" s="18">
        <v>10.74</v>
      </c>
      <c r="G79" s="6">
        <v>72.39</v>
      </c>
      <c r="H79" s="20">
        <v>-255.28</v>
      </c>
      <c r="I79" s="20">
        <v>529.1</v>
      </c>
      <c r="J79" s="20">
        <v>274.95999999999998</v>
      </c>
      <c r="K79" s="19">
        <v>0.96609999999999996</v>
      </c>
      <c r="L79" s="19">
        <v>0.56299999999999994</v>
      </c>
      <c r="M79" s="18">
        <f t="shared" si="50"/>
        <v>4.6937309999999997</v>
      </c>
      <c r="N79" s="18">
        <f t="shared" si="52"/>
        <v>12.383325759401211</v>
      </c>
      <c r="O79" s="30">
        <v>2.0068000000000001</v>
      </c>
      <c r="P79" s="30">
        <f t="shared" si="53"/>
        <v>6.5288020729519634</v>
      </c>
      <c r="Q79" s="27">
        <v>0.38669999999999999</v>
      </c>
      <c r="R79" s="6">
        <v>0.56599999999999995</v>
      </c>
      <c r="S79" s="27">
        <v>3252</v>
      </c>
      <c r="T79" s="6">
        <v>98968</v>
      </c>
      <c r="U79" s="27">
        <f t="shared" si="54"/>
        <v>2.4044436596596295E-3</v>
      </c>
      <c r="AC79" s="2">
        <f t="shared" si="49"/>
        <v>0.42829655565056346</v>
      </c>
      <c r="AD79" s="2">
        <f t="shared" si="49"/>
        <v>7.9139512209879762E-2</v>
      </c>
      <c r="AE79" s="2">
        <f t="shared" si="49"/>
        <v>0.53341799710178739</v>
      </c>
      <c r="AF79" s="2">
        <f t="shared" si="49"/>
        <v>-1.8810739922661179</v>
      </c>
      <c r="AG79" s="2">
        <f t="shared" si="49"/>
        <v>3.8987631201347659</v>
      </c>
      <c r="AH79" s="2">
        <f t="shared" si="49"/>
        <v>2.0260894112875736</v>
      </c>
      <c r="AI79" s="2">
        <f t="shared" si="49"/>
        <v>7.1188717640563162E-3</v>
      </c>
      <c r="AJ79" s="2">
        <f t="shared" si="49"/>
        <v>4.1485610218028211E-3</v>
      </c>
      <c r="AK79" s="2">
        <f t="shared" si="49"/>
        <v>3.4586553238770121E-2</v>
      </c>
      <c r="AL79" s="2">
        <f t="shared" si="49"/>
        <v>9.124863688408294E-2</v>
      </c>
      <c r="AM79" s="2">
        <f t="shared" si="49"/>
        <v>1.4787446285175672E-2</v>
      </c>
      <c r="AN79" s="2">
        <f t="shared" si="49"/>
        <v>4.8108585788479534E-2</v>
      </c>
      <c r="AO79" s="2">
        <f t="shared" si="49"/>
        <v>2.849464559735615E-3</v>
      </c>
      <c r="AP79" s="2">
        <f t="shared" si="49"/>
        <v>4.1706670307999948E-3</v>
      </c>
      <c r="AQ79" s="2">
        <f t="shared" si="49"/>
        <v>23.962913752935659</v>
      </c>
      <c r="AR79" s="2">
        <f t="shared" si="49"/>
        <v>729.26249947740973</v>
      </c>
    </row>
    <row r="80" spans="1:44">
      <c r="B80" s="6" t="s">
        <v>80</v>
      </c>
      <c r="C80" s="35">
        <f>Drawing!O45</f>
        <v>2.2975902433236023E-2</v>
      </c>
      <c r="D80" s="6" t="s">
        <v>79</v>
      </c>
      <c r="E80" s="18">
        <v>58.124000000000002</v>
      </c>
      <c r="F80" s="18">
        <v>31.12</v>
      </c>
      <c r="G80" s="6">
        <v>51.54</v>
      </c>
      <c r="H80" s="20">
        <v>-217.05</v>
      </c>
      <c r="I80" s="20">
        <v>550.70000000000005</v>
      </c>
      <c r="J80" s="20">
        <v>305.62</v>
      </c>
      <c r="K80" s="19">
        <v>0.93669999999999998</v>
      </c>
      <c r="L80" s="19">
        <v>0.58430000000000004</v>
      </c>
      <c r="M80" s="18">
        <f t="shared" si="50"/>
        <v>4.8713091000000004</v>
      </c>
      <c r="N80" s="18">
        <f t="shared" si="52"/>
        <v>11.931905532334213</v>
      </c>
      <c r="O80" s="30">
        <v>2.0068000000000001</v>
      </c>
      <c r="P80" s="30">
        <f t="shared" si="53"/>
        <v>6.5288020729519634</v>
      </c>
      <c r="Q80" s="27">
        <v>0.39510000000000001</v>
      </c>
      <c r="R80" s="6">
        <v>0.56599999999999995</v>
      </c>
      <c r="S80" s="27">
        <v>3262</v>
      </c>
      <c r="T80" s="6">
        <v>102918</v>
      </c>
      <c r="U80" s="27">
        <f t="shared" si="54"/>
        <v>7.2238813531884062E-3</v>
      </c>
      <c r="AC80" s="2">
        <f t="shared" si="49"/>
        <v>1.3354513530294105</v>
      </c>
      <c r="AD80" s="2">
        <f t="shared" si="49"/>
        <v>0.71501008372230501</v>
      </c>
      <c r="AE80" s="2">
        <f t="shared" si="49"/>
        <v>1.1841780114089846</v>
      </c>
      <c r="AF80" s="2">
        <f t="shared" si="49"/>
        <v>-4.986919623133879</v>
      </c>
      <c r="AG80" s="2">
        <f t="shared" si="49"/>
        <v>12.652829469983079</v>
      </c>
      <c r="AH80" s="2">
        <f t="shared" si="49"/>
        <v>7.0218953016455936</v>
      </c>
      <c r="AI80" s="2">
        <f t="shared" si="49"/>
        <v>2.1521527809212182E-2</v>
      </c>
      <c r="AJ80" s="2">
        <f t="shared" si="49"/>
        <v>1.3424819791739808E-2</v>
      </c>
      <c r="AK80" s="2">
        <f t="shared" si="49"/>
        <v>0.11192272260373479</v>
      </c>
      <c r="AL80" s="2">
        <f t="shared" si="49"/>
        <v>0.27414629735349999</v>
      </c>
      <c r="AM80" s="2">
        <f t="shared" si="49"/>
        <v>4.6108041003018053E-2</v>
      </c>
      <c r="AN80" s="2">
        <f t="shared" si="49"/>
        <v>0.1500051194340534</v>
      </c>
      <c r="AO80" s="2">
        <f t="shared" si="49"/>
        <v>9.0777790513715522E-3</v>
      </c>
      <c r="AP80" s="2">
        <f t="shared" si="49"/>
        <v>1.3004360777211588E-2</v>
      </c>
      <c r="AQ80" s="2">
        <f t="shared" si="49"/>
        <v>74.947393737215904</v>
      </c>
      <c r="AR80" s="2">
        <f t="shared" si="49"/>
        <v>2364.6339266237851</v>
      </c>
    </row>
    <row r="81" spans="2:44">
      <c r="B81" s="6" t="s">
        <v>81</v>
      </c>
      <c r="C81" s="35">
        <f>Drawing!O46</f>
        <v>1.3223090904947917E-2</v>
      </c>
      <c r="D81" s="6" t="s">
        <v>82</v>
      </c>
      <c r="E81" s="18">
        <v>72.150999999999996</v>
      </c>
      <c r="F81" s="18">
        <v>82.11</v>
      </c>
      <c r="G81" s="6">
        <v>20.443999999999999</v>
      </c>
      <c r="H81" s="20">
        <v>-255.82</v>
      </c>
      <c r="I81" s="20">
        <v>490.4</v>
      </c>
      <c r="J81" s="20">
        <v>369.03</v>
      </c>
      <c r="K81" s="19">
        <v>0.94799999999999995</v>
      </c>
      <c r="L81" s="19">
        <v>0.62439999999999996</v>
      </c>
      <c r="M81" s="18">
        <f t="shared" si="50"/>
        <v>5.2056227999999996</v>
      </c>
      <c r="N81" s="18">
        <f t="shared" si="52"/>
        <v>13.860205161234502</v>
      </c>
      <c r="O81" s="30">
        <v>2.4910999999999999</v>
      </c>
      <c r="P81" s="30">
        <f t="shared" si="53"/>
        <v>5.2595239051021645</v>
      </c>
      <c r="Q81" s="27">
        <v>0.38290000000000002</v>
      </c>
      <c r="R81" s="6">
        <v>0.5353</v>
      </c>
      <c r="S81" s="27">
        <v>4000</v>
      </c>
      <c r="T81" s="6">
        <v>108722</v>
      </c>
      <c r="U81" s="27">
        <f t="shared" si="54"/>
        <v>4.8293742505462998E-3</v>
      </c>
      <c r="AC81" s="2">
        <f t="shared" si="49"/>
        <v>0.9540592318828971</v>
      </c>
      <c r="AD81" s="2">
        <f t="shared" si="49"/>
        <v>1.0857479942052735</v>
      </c>
      <c r="AE81" s="2">
        <f t="shared" si="49"/>
        <v>0.27033287046075521</v>
      </c>
      <c r="AF81" s="2">
        <f t="shared" si="49"/>
        <v>-3.382731115303776</v>
      </c>
      <c r="AG81" s="2">
        <f t="shared" si="49"/>
        <v>6.4846037797864584</v>
      </c>
      <c r="AH81" s="2">
        <f t="shared" si="49"/>
        <v>4.8797172366529296</v>
      </c>
      <c r="AI81" s="2">
        <f t="shared" si="49"/>
        <v>1.2535490177890624E-2</v>
      </c>
      <c r="AJ81" s="2">
        <f t="shared" si="49"/>
        <v>8.2564979610494794E-3</v>
      </c>
      <c r="AK81" s="2">
        <f t="shared" si="49"/>
        <v>6.8834423501269504E-2</v>
      </c>
      <c r="AL81" s="2">
        <f t="shared" si="49"/>
        <v>0.18327475280823211</v>
      </c>
      <c r="AM81" s="2">
        <f t="shared" si="49"/>
        <v>3.2940041753315753E-2</v>
      </c>
      <c r="AN81" s="2">
        <f t="shared" si="49"/>
        <v>6.9547162713912578E-2</v>
      </c>
      <c r="AO81" s="2">
        <f t="shared" si="49"/>
        <v>5.0631215075045578E-3</v>
      </c>
      <c r="AP81" s="2">
        <f t="shared" si="49"/>
        <v>7.0783205614186199E-3</v>
      </c>
      <c r="AQ81" s="2">
        <f t="shared" si="49"/>
        <v>52.892363619791666</v>
      </c>
      <c r="AR81" s="2">
        <f t="shared" si="49"/>
        <v>1437.6408893677474</v>
      </c>
    </row>
    <row r="82" spans="2:44">
      <c r="B82" s="6" t="s">
        <v>83</v>
      </c>
      <c r="C82" s="35">
        <f>Drawing!O47</f>
        <v>1.8467925098031895E-2</v>
      </c>
      <c r="D82" s="6" t="s">
        <v>82</v>
      </c>
      <c r="E82" s="18">
        <v>72.150999999999996</v>
      </c>
      <c r="F82" s="18">
        <v>96.91</v>
      </c>
      <c r="G82" s="6">
        <v>15.574999999999999</v>
      </c>
      <c r="H82" s="20">
        <v>-201.51</v>
      </c>
      <c r="I82" s="20">
        <v>488.6</v>
      </c>
      <c r="J82" s="20">
        <v>385.6</v>
      </c>
      <c r="K82" s="19">
        <v>0.94199999999999995</v>
      </c>
      <c r="L82" s="19">
        <v>0.63109999999999999</v>
      </c>
      <c r="M82" s="18">
        <f t="shared" si="50"/>
        <v>5.2614806999999999</v>
      </c>
      <c r="N82" s="18">
        <f t="shared" si="52"/>
        <v>13.713059899659044</v>
      </c>
      <c r="O82" s="30">
        <v>2.4910999999999999</v>
      </c>
      <c r="P82" s="30">
        <f t="shared" si="53"/>
        <v>5.2595239051021645</v>
      </c>
      <c r="Q82" s="27">
        <v>0.39900000000000002</v>
      </c>
      <c r="R82" s="6">
        <v>0.54800000000000004</v>
      </c>
      <c r="S82" s="27">
        <v>4008</v>
      </c>
      <c r="T82" s="6">
        <v>110071</v>
      </c>
      <c r="U82" s="27">
        <f t="shared" si="54"/>
        <v>6.6733007402299867E-3</v>
      </c>
      <c r="AC82" s="2">
        <f t="shared" si="49"/>
        <v>1.3324792637480991</v>
      </c>
      <c r="AD82" s="2">
        <f t="shared" si="49"/>
        <v>1.7897266212502709</v>
      </c>
      <c r="AE82" s="2">
        <f t="shared" si="49"/>
        <v>0.28763793340184673</v>
      </c>
      <c r="AF82" s="2">
        <f t="shared" si="49"/>
        <v>-3.721471586504407</v>
      </c>
      <c r="AG82" s="2">
        <f t="shared" si="49"/>
        <v>9.0234282028983834</v>
      </c>
      <c r="AH82" s="2">
        <f t="shared" si="49"/>
        <v>7.121231917801099</v>
      </c>
      <c r="AI82" s="2">
        <f t="shared" si="49"/>
        <v>1.7396785442346043E-2</v>
      </c>
      <c r="AJ82" s="2">
        <f t="shared" si="49"/>
        <v>1.1655107529367929E-2</v>
      </c>
      <c r="AK82" s="2">
        <f t="shared" si="49"/>
        <v>9.7168631472340422E-2</v>
      </c>
      <c r="AL82" s="2">
        <f t="shared" si="49"/>
        <v>0.25325176309172798</v>
      </c>
      <c r="AM82" s="2">
        <f t="shared" si="49"/>
        <v>4.6005448211707253E-2</v>
      </c>
      <c r="AN82" s="2">
        <f t="shared" si="49"/>
        <v>9.7132493530734984E-2</v>
      </c>
      <c r="AO82" s="2">
        <f t="shared" si="49"/>
        <v>7.3687021141147268E-3</v>
      </c>
      <c r="AP82" s="2">
        <f t="shared" si="49"/>
        <v>1.0120422953721479E-2</v>
      </c>
      <c r="AQ82" s="2">
        <f t="shared" si="49"/>
        <v>74.019443792911829</v>
      </c>
      <c r="AR82" s="2">
        <f t="shared" si="49"/>
        <v>2032.7829834654688</v>
      </c>
    </row>
    <row r="83" spans="2:44">
      <c r="B83" s="6" t="s">
        <v>84</v>
      </c>
      <c r="C83" s="35">
        <f>Drawing!O48</f>
        <v>5.9125009888605411E-2</v>
      </c>
      <c r="D83" s="6" t="s">
        <v>85</v>
      </c>
      <c r="E83" s="18">
        <v>86.177999999999997</v>
      </c>
      <c r="F83" s="18">
        <v>155.72999999999999</v>
      </c>
      <c r="G83" s="6">
        <v>4.96</v>
      </c>
      <c r="H83" s="20">
        <v>-139.58000000000001</v>
      </c>
      <c r="I83" s="20">
        <v>710.4</v>
      </c>
      <c r="J83" s="20">
        <v>453.6</v>
      </c>
      <c r="K83" s="19">
        <v>0.91</v>
      </c>
      <c r="L83" s="19">
        <v>0.66400000000000003</v>
      </c>
      <c r="M83" s="18">
        <f t="shared" si="50"/>
        <v>5.535768</v>
      </c>
      <c r="N83" s="18">
        <f t="shared" si="52"/>
        <v>15.567487654829465</v>
      </c>
      <c r="O83" s="30">
        <v>2.9752999999999998</v>
      </c>
      <c r="P83" s="30">
        <f t="shared" si="53"/>
        <v>4.4035895539945553</v>
      </c>
      <c r="Q83" s="27">
        <v>0.38569999999999999</v>
      </c>
      <c r="R83" s="6">
        <v>0.53320000000000001</v>
      </c>
      <c r="S83" s="27">
        <v>4756</v>
      </c>
      <c r="T83" s="6">
        <v>115055</v>
      </c>
      <c r="U83" s="27">
        <f t="shared" si="54"/>
        <v>2.4253698591107636E-2</v>
      </c>
      <c r="AC83" s="2">
        <f t="shared" si="49"/>
        <v>5.0952751021802367</v>
      </c>
      <c r="AD83" s="2">
        <f t="shared" si="49"/>
        <v>9.2075377899525197</v>
      </c>
      <c r="AE83" s="2">
        <f t="shared" si="49"/>
        <v>0.29326004904748282</v>
      </c>
      <c r="AF83" s="2">
        <f t="shared" si="49"/>
        <v>-8.2526688802515444</v>
      </c>
      <c r="AG83" s="2">
        <f t="shared" si="49"/>
        <v>42.002407024865285</v>
      </c>
      <c r="AH83" s="2">
        <f t="shared" si="49"/>
        <v>26.819104485471417</v>
      </c>
      <c r="AI83" s="2">
        <f t="shared" si="49"/>
        <v>5.3803758998630928E-2</v>
      </c>
      <c r="AJ83" s="2">
        <f t="shared" si="49"/>
        <v>3.9259006566033997E-2</v>
      </c>
      <c r="AK83" s="2">
        <f t="shared" si="49"/>
        <v>0.32730233774102541</v>
      </c>
      <c r="AL83" s="2">
        <f t="shared" si="49"/>
        <v>0.92042786153253475</v>
      </c>
      <c r="AM83" s="2">
        <f t="shared" si="49"/>
        <v>0.17591464192156767</v>
      </c>
      <c r="AN83" s="2">
        <f t="shared" si="49"/>
        <v>0.2603622759252876</v>
      </c>
      <c r="AO83" s="2">
        <f t="shared" si="49"/>
        <v>2.2804516314035107E-2</v>
      </c>
      <c r="AP83" s="2">
        <f t="shared" si="49"/>
        <v>3.1525455272604405E-2</v>
      </c>
      <c r="AQ83" s="2">
        <f t="shared" si="49"/>
        <v>281.19854703020735</v>
      </c>
      <c r="AR83" s="2">
        <f t="shared" si="49"/>
        <v>6802.6280127334958</v>
      </c>
    </row>
    <row r="84" spans="2:44">
      <c r="B84" s="6" t="s">
        <v>86</v>
      </c>
      <c r="C84" s="35">
        <f>Drawing!O49</f>
        <v>1.7739001651467391E-2</v>
      </c>
      <c r="D84" s="6" t="s">
        <v>87</v>
      </c>
      <c r="E84" s="18">
        <v>78.114000000000004</v>
      </c>
      <c r="F84" s="18">
        <v>176.16</v>
      </c>
      <c r="G84" s="6">
        <v>3.2250000000000001</v>
      </c>
      <c r="H84" s="20">
        <v>41.96</v>
      </c>
      <c r="I84" s="20">
        <v>710.4</v>
      </c>
      <c r="J84" s="20">
        <v>552.22</v>
      </c>
      <c r="K84" s="19">
        <v>0.92900000000000005</v>
      </c>
      <c r="L84" s="19">
        <v>0.88449999999999995</v>
      </c>
      <c r="M84" s="18">
        <f t="shared" si="50"/>
        <v>7.3740764999999993</v>
      </c>
      <c r="N84" s="18">
        <f t="shared" si="52"/>
        <v>10.593055279532292</v>
      </c>
      <c r="O84" s="30">
        <v>2.6968999999999999</v>
      </c>
      <c r="P84" s="30">
        <f t="shared" si="53"/>
        <v>4.8581704920464244</v>
      </c>
      <c r="Q84" s="27">
        <v>0.2422</v>
      </c>
      <c r="R84" s="6">
        <v>0.4098</v>
      </c>
      <c r="S84" s="27">
        <v>3741</v>
      </c>
      <c r="T84" s="6">
        <v>132651</v>
      </c>
      <c r="U84" s="27">
        <f t="shared" si="54"/>
        <v>4.9515210829435751E-3</v>
      </c>
      <c r="AC84" s="2">
        <f t="shared" si="49"/>
        <v>1.3856643750027238</v>
      </c>
      <c r="AD84" s="2">
        <f t="shared" si="49"/>
        <v>3.1249025309224954</v>
      </c>
      <c r="AE84" s="2">
        <f t="shared" si="49"/>
        <v>5.7208280325982339E-2</v>
      </c>
      <c r="AF84" s="2">
        <f t="shared" si="49"/>
        <v>0.74432850929557171</v>
      </c>
      <c r="AG84" s="2">
        <f t="shared" si="49"/>
        <v>12.601786773202434</v>
      </c>
      <c r="AH84" s="2">
        <f t="shared" si="49"/>
        <v>9.795831491973324</v>
      </c>
      <c r="AI84" s="2">
        <f t="shared" si="49"/>
        <v>1.6479532534213207E-2</v>
      </c>
      <c r="AJ84" s="2">
        <f t="shared" si="49"/>
        <v>1.5690146960722906E-2</v>
      </c>
      <c r="AK84" s="2">
        <f t="shared" si="49"/>
        <v>0.13080875521154686</v>
      </c>
      <c r="AL84" s="2">
        <f t="shared" si="49"/>
        <v>0.18791022509770869</v>
      </c>
      <c r="AM84" s="2">
        <f t="shared" si="49"/>
        <v>4.7840313553842405E-2</v>
      </c>
      <c r="AN84" s="2">
        <f t="shared" si="49"/>
        <v>8.6179094381521673E-2</v>
      </c>
      <c r="AO84" s="2">
        <f t="shared" si="49"/>
        <v>4.2963861999854025E-3</v>
      </c>
      <c r="AP84" s="2">
        <f t="shared" si="49"/>
        <v>7.269442876771337E-3</v>
      </c>
      <c r="AQ84" s="2">
        <f t="shared" si="49"/>
        <v>66.361605178139513</v>
      </c>
      <c r="AR84" s="2">
        <f t="shared" si="49"/>
        <v>2353.0963080688011</v>
      </c>
    </row>
    <row r="85" spans="2:44">
      <c r="B85" s="6" t="s">
        <v>88</v>
      </c>
      <c r="C85" s="35">
        <f>C84/4</f>
        <v>4.4347504128668478E-3</v>
      </c>
      <c r="D85" s="6" t="s">
        <v>89</v>
      </c>
      <c r="E85" s="18">
        <v>92.141000000000005</v>
      </c>
      <c r="F85" s="18">
        <v>231.13</v>
      </c>
      <c r="G85" s="6">
        <v>1.0029999999999999</v>
      </c>
      <c r="H85" s="20">
        <v>-138.97999999999999</v>
      </c>
      <c r="I85" s="20">
        <v>595.5</v>
      </c>
      <c r="J85" s="20">
        <v>605.57000000000005</v>
      </c>
      <c r="K85" s="19">
        <v>0.90300000000000002</v>
      </c>
      <c r="L85" s="19">
        <v>0.87190000000000001</v>
      </c>
      <c r="M85" s="18">
        <f t="shared" si="50"/>
        <v>7.2690302999999998</v>
      </c>
      <c r="N85" s="18">
        <f t="shared" si="52"/>
        <v>12.675831052733404</v>
      </c>
      <c r="O85" s="30">
        <v>3.1812</v>
      </c>
      <c r="P85" s="30">
        <f t="shared" si="53"/>
        <v>4.118571608198164</v>
      </c>
      <c r="Q85" s="27">
        <v>0.25979999999999998</v>
      </c>
      <c r="R85" s="6">
        <v>0.40089999999999998</v>
      </c>
      <c r="S85" s="27">
        <v>4475</v>
      </c>
      <c r="T85" s="6">
        <v>132659</v>
      </c>
      <c r="U85" s="27">
        <f t="shared" si="54"/>
        <v>1.481268695508297E-3</v>
      </c>
      <c r="AC85" s="2">
        <f t="shared" si="49"/>
        <v>0.40862233779196427</v>
      </c>
      <c r="AD85" s="2">
        <f t="shared" si="49"/>
        <v>1.0250038629259146</v>
      </c>
      <c r="AE85" s="2">
        <f t="shared" si="49"/>
        <v>4.4480546641054476E-3</v>
      </c>
      <c r="AF85" s="2">
        <f t="shared" si="49"/>
        <v>-0.61634161238023444</v>
      </c>
      <c r="AG85" s="2">
        <f t="shared" si="49"/>
        <v>2.6408938708622078</v>
      </c>
      <c r="AH85" s="2">
        <f t="shared" si="49"/>
        <v>2.6855518075197771</v>
      </c>
      <c r="AI85" s="2">
        <f t="shared" si="49"/>
        <v>4.0045796228187639E-3</v>
      </c>
      <c r="AJ85" s="2">
        <f t="shared" si="49"/>
        <v>3.8666588849786045E-3</v>
      </c>
      <c r="AK85" s="2">
        <f t="shared" si="49"/>
        <v>3.2236335124066623E-2</v>
      </c>
      <c r="AL85" s="2">
        <f t="shared" si="49"/>
        <v>5.6214146994539874E-2</v>
      </c>
      <c r="AM85" s="2">
        <f t="shared" si="49"/>
        <v>1.4107828013412016E-2</v>
      </c>
      <c r="AN85" s="2">
        <f t="shared" si="49"/>
        <v>1.8264837139878486E-2</v>
      </c>
      <c r="AO85" s="2">
        <f t="shared" si="49"/>
        <v>1.1521481572628069E-3</v>
      </c>
      <c r="AP85" s="2">
        <f t="shared" si="49"/>
        <v>1.7778914405183193E-3</v>
      </c>
      <c r="AQ85" s="2">
        <f t="shared" si="49"/>
        <v>19.845508097579145</v>
      </c>
      <c r="AR85" s="2">
        <f t="shared" si="49"/>
        <v>588.30955502050313</v>
      </c>
    </row>
    <row r="86" spans="2:44">
      <c r="B86" s="6" t="s">
        <v>90</v>
      </c>
      <c r="C86" s="35">
        <f>C85</f>
        <v>4.4347504128668478E-3</v>
      </c>
      <c r="D86" s="6" t="s">
        <v>91</v>
      </c>
      <c r="E86" s="18">
        <v>106.16800000000001</v>
      </c>
      <c r="F86" s="18">
        <v>277.16000000000003</v>
      </c>
      <c r="G86" s="6">
        <v>0.37159999999999999</v>
      </c>
      <c r="H86" s="20">
        <v>-138.96</v>
      </c>
      <c r="I86" s="20">
        <v>523.4</v>
      </c>
      <c r="J86" s="20">
        <v>651.29</v>
      </c>
      <c r="K86" s="19"/>
      <c r="L86" s="19">
        <v>0.87170000000000003</v>
      </c>
      <c r="M86" s="18">
        <f t="shared" si="50"/>
        <v>7.2673629000000002</v>
      </c>
      <c r="N86" s="18">
        <f t="shared" si="52"/>
        <v>14.608875524848223</v>
      </c>
      <c r="O86" s="30">
        <v>3.6655000000000002</v>
      </c>
      <c r="P86" s="30">
        <f t="shared" si="53"/>
        <v>3.5744100395580412</v>
      </c>
      <c r="Q86" s="27">
        <v>0.27950000000000003</v>
      </c>
      <c r="R86" s="6">
        <v>0.4113</v>
      </c>
      <c r="S86" s="27">
        <v>5222</v>
      </c>
      <c r="T86" s="6">
        <v>134381</v>
      </c>
      <c r="U86" s="27">
        <f t="shared" si="54"/>
        <v>1.7071598620643227E-3</v>
      </c>
      <c r="AC86" s="2">
        <f t="shared" si="49"/>
        <v>0.47082858183324755</v>
      </c>
      <c r="AD86" s="2">
        <f t="shared" si="49"/>
        <v>1.2291354244301755</v>
      </c>
      <c r="AE86" s="2">
        <f t="shared" si="49"/>
        <v>1.6479532534213206E-3</v>
      </c>
      <c r="AF86" s="2">
        <f t="shared" si="49"/>
        <v>-0.61625291737197718</v>
      </c>
      <c r="AG86" s="2">
        <f t="shared" si="49"/>
        <v>2.321148366094508</v>
      </c>
      <c r="AH86" s="2">
        <f t="shared" si="49"/>
        <v>2.8883085963960493</v>
      </c>
      <c r="AI86" s="2">
        <f t="shared" si="49"/>
        <v>0</v>
      </c>
      <c r="AJ86" s="2">
        <f t="shared" si="49"/>
        <v>3.8657719348960313E-3</v>
      </c>
      <c r="AK86" s="2">
        <f t="shared" si="49"/>
        <v>3.2228940621228212E-2</v>
      </c>
      <c r="AL86" s="2">
        <f t="shared" si="49"/>
        <v>6.4786716765341049E-2</v>
      </c>
      <c r="AM86" s="2">
        <f t="shared" si="49"/>
        <v>1.6255577638363432E-2</v>
      </c>
      <c r="AN86" s="2">
        <f t="shared" si="49"/>
        <v>1.5851616398685427E-2</v>
      </c>
      <c r="AO86" s="2">
        <f t="shared" si="49"/>
        <v>1.2395127403962841E-3</v>
      </c>
      <c r="AP86" s="2">
        <f t="shared" si="49"/>
        <v>1.8240128448121346E-3</v>
      </c>
      <c r="AQ86" s="2">
        <f t="shared" si="49"/>
        <v>23.15826665599068</v>
      </c>
      <c r="AR86" s="2">
        <f t="shared" si="49"/>
        <v>595.94619523145991</v>
      </c>
    </row>
    <row r="87" spans="2:44">
      <c r="B87" s="6" t="s">
        <v>92</v>
      </c>
      <c r="C87" s="35">
        <f>C86</f>
        <v>4.4347504128668478E-3</v>
      </c>
      <c r="D87" s="6" t="s">
        <v>93</v>
      </c>
      <c r="E87" s="18">
        <v>106.16800000000001</v>
      </c>
      <c r="F87" s="18">
        <v>291.97000000000003</v>
      </c>
      <c r="G87" s="6">
        <v>0.26429999999999998</v>
      </c>
      <c r="H87" s="20">
        <v>-13.32</v>
      </c>
      <c r="I87" s="20">
        <v>541.6</v>
      </c>
      <c r="J87" s="20">
        <v>674.92</v>
      </c>
      <c r="K87" s="19"/>
      <c r="L87" s="19">
        <v>0.88470000000000004</v>
      </c>
      <c r="M87" s="18">
        <f t="shared" si="50"/>
        <v>7.3757438999999998</v>
      </c>
      <c r="N87" s="18">
        <f t="shared" si="52"/>
        <v>14.394209104792807</v>
      </c>
      <c r="O87" s="30">
        <v>3.6655000000000002</v>
      </c>
      <c r="P87" s="30">
        <f t="shared" si="53"/>
        <v>3.5744100395580412</v>
      </c>
      <c r="Q87" s="27">
        <v>0.29139999999999999</v>
      </c>
      <c r="R87" s="6">
        <v>0.41610000000000003</v>
      </c>
      <c r="S87" s="27">
        <v>5209</v>
      </c>
      <c r="T87" s="6">
        <v>136036</v>
      </c>
      <c r="U87" s="27">
        <f t="shared" si="54"/>
        <v>1.6820744340018878E-3</v>
      </c>
      <c r="AC87" s="2">
        <f t="shared" si="49"/>
        <v>0.47082858183324755</v>
      </c>
      <c r="AD87" s="2">
        <f t="shared" si="49"/>
        <v>1.2948140780447337</v>
      </c>
      <c r="AE87" s="2">
        <f t="shared" si="49"/>
        <v>1.1721045341207077E-3</v>
      </c>
      <c r="AF87" s="2">
        <f t="shared" si="49"/>
        <v>-5.9070875499386416E-2</v>
      </c>
      <c r="AG87" s="2">
        <f t="shared" si="49"/>
        <v>2.4018608236086849</v>
      </c>
      <c r="AH87" s="2">
        <f t="shared" si="49"/>
        <v>2.9931017486520926</v>
      </c>
      <c r="AI87" s="2">
        <f t="shared" si="49"/>
        <v>0</v>
      </c>
      <c r="AJ87" s="2">
        <f t="shared" si="49"/>
        <v>3.9234236902633002E-3</v>
      </c>
      <c r="AK87" s="2">
        <f t="shared" si="49"/>
        <v>3.2709583305725133E-2</v>
      </c>
      <c r="AL87" s="2">
        <f t="shared" si="49"/>
        <v>6.3834724770371637E-2</v>
      </c>
      <c r="AM87" s="2">
        <f t="shared" si="49"/>
        <v>1.6255577638363432E-2</v>
      </c>
      <c r="AN87" s="2">
        <f t="shared" si="49"/>
        <v>1.5851616398685427E-2</v>
      </c>
      <c r="AO87" s="2">
        <f t="shared" si="49"/>
        <v>1.2922862703093993E-3</v>
      </c>
      <c r="AP87" s="2">
        <f t="shared" si="49"/>
        <v>1.8452996467938955E-3</v>
      </c>
      <c r="AQ87" s="2">
        <f t="shared" si="49"/>
        <v>23.100614900623409</v>
      </c>
      <c r="AR87" s="2">
        <f t="shared" si="49"/>
        <v>603.28570716475451</v>
      </c>
    </row>
    <row r="88" spans="2:44">
      <c r="B88" s="6" t="s">
        <v>1</v>
      </c>
      <c r="C88" s="35">
        <v>0</v>
      </c>
      <c r="D88" s="6" t="s">
        <v>94</v>
      </c>
      <c r="E88" s="18">
        <v>18.015000000000001</v>
      </c>
      <c r="F88" s="18">
        <v>212</v>
      </c>
      <c r="G88" s="6">
        <v>0.94950000000000001</v>
      </c>
      <c r="H88" s="20">
        <v>32</v>
      </c>
      <c r="I88" s="20">
        <v>3207.9</v>
      </c>
      <c r="J88" s="20">
        <v>705.5</v>
      </c>
      <c r="K88" s="19">
        <v>0.34339999999999998</v>
      </c>
      <c r="L88" s="19">
        <v>1</v>
      </c>
      <c r="M88" s="18">
        <v>8.3369999999999997</v>
      </c>
      <c r="N88" s="18">
        <f t="shared" si="52"/>
        <v>2.1608492263404102</v>
      </c>
      <c r="O88" s="30">
        <v>21.06</v>
      </c>
      <c r="P88" s="30">
        <f t="shared" si="53"/>
        <v>0.62212725546058889</v>
      </c>
      <c r="Q88" s="27">
        <v>0.44469999999999998</v>
      </c>
      <c r="R88" s="6">
        <v>1.0009999999999999</v>
      </c>
      <c r="S88" s="27">
        <v>49</v>
      </c>
      <c r="T88" s="6">
        <v>0</v>
      </c>
      <c r="U88" s="27"/>
      <c r="AC88" s="2">
        <f t="shared" si="49"/>
        <v>0</v>
      </c>
      <c r="AD88" s="2">
        <f t="shared" si="49"/>
        <v>0</v>
      </c>
      <c r="AE88" s="2">
        <f t="shared" si="49"/>
        <v>0</v>
      </c>
      <c r="AF88" s="2">
        <f t="shared" si="49"/>
        <v>0</v>
      </c>
      <c r="AG88" s="2">
        <f t="shared" si="49"/>
        <v>0</v>
      </c>
      <c r="AH88" s="2">
        <f t="shared" si="49"/>
        <v>0</v>
      </c>
      <c r="AI88" s="2">
        <f t="shared" si="49"/>
        <v>0</v>
      </c>
      <c r="AJ88" s="2">
        <f t="shared" si="49"/>
        <v>0</v>
      </c>
      <c r="AK88" s="2">
        <f t="shared" si="49"/>
        <v>0</v>
      </c>
      <c r="AL88" s="2">
        <f t="shared" si="49"/>
        <v>0</v>
      </c>
      <c r="AM88" s="2">
        <f t="shared" si="49"/>
        <v>0</v>
      </c>
      <c r="AN88" s="2">
        <f t="shared" si="49"/>
        <v>0</v>
      </c>
      <c r="AO88" s="2">
        <f t="shared" si="49"/>
        <v>0</v>
      </c>
      <c r="AP88" s="2">
        <f t="shared" si="49"/>
        <v>0</v>
      </c>
      <c r="AQ88" s="2">
        <f t="shared" si="49"/>
        <v>0</v>
      </c>
      <c r="AR88" s="2">
        <f t="shared" ref="AR88" si="55">T88*$C88</f>
        <v>0</v>
      </c>
    </row>
    <row r="89" spans="2:44">
      <c r="B89" s="6" t="s">
        <v>95</v>
      </c>
      <c r="C89" s="35">
        <f>SUM(C73:C88)</f>
        <v>0.19822932738769705</v>
      </c>
      <c r="D89" s="6"/>
      <c r="E89" s="18">
        <f>AC89</f>
        <v>13.467884927787241</v>
      </c>
      <c r="F89" s="18">
        <f t="shared" ref="F89:T89" si="56">AD89</f>
        <v>14.097606406760018</v>
      </c>
      <c r="G89" s="18">
        <f t="shared" si="56"/>
        <v>68.537560275340212</v>
      </c>
      <c r="H89" s="18">
        <f t="shared" si="56"/>
        <v>-35.799413910399025</v>
      </c>
      <c r="I89" s="18">
        <f t="shared" si="56"/>
        <v>125.55717574916747</v>
      </c>
      <c r="J89" s="18">
        <f t="shared" si="56"/>
        <v>70.57716999305309</v>
      </c>
      <c r="K89" s="18">
        <f t="shared" si="56"/>
        <v>0.17839961628289477</v>
      </c>
      <c r="L89" s="18">
        <f t="shared" si="56"/>
        <v>0.12477739416038942</v>
      </c>
      <c r="M89" s="18">
        <f t="shared" si="56"/>
        <v>1.0402691351151667</v>
      </c>
      <c r="N89" s="18">
        <f t="shared" si="56"/>
        <v>2.5161402457208628</v>
      </c>
      <c r="O89" s="28">
        <f t="shared" si="56"/>
        <v>0.49144695613543449</v>
      </c>
      <c r="P89" s="28">
        <f t="shared" si="56"/>
        <v>1.3345229179188856</v>
      </c>
      <c r="Q89" s="28">
        <f t="shared" si="56"/>
        <v>7.4013850183438062E-2</v>
      </c>
      <c r="R89" s="18">
        <f t="shared" si="56"/>
        <v>0.1008274839388681</v>
      </c>
      <c r="S89" s="28">
        <f t="shared" si="56"/>
        <v>721.96207889882498</v>
      </c>
      <c r="T89" s="18">
        <f t="shared" si="56"/>
        <v>20118.927953116348</v>
      </c>
      <c r="U89" s="28">
        <f>SUM(U77:U87)</f>
        <v>6.3867209485104673E-2</v>
      </c>
      <c r="V89" s="11"/>
      <c r="W89" s="11"/>
      <c r="X89" s="11"/>
      <c r="Y89" s="11"/>
      <c r="Z89" s="11"/>
      <c r="AA89" s="11"/>
      <c r="AC89" s="2">
        <f>SUM(AC73:AC88)</f>
        <v>13.467884927787241</v>
      </c>
      <c r="AD89" s="2">
        <f t="shared" ref="AD89:AR89" si="57">SUM(AD73:AD88)</f>
        <v>14.097606406760018</v>
      </c>
      <c r="AE89" s="2">
        <f t="shared" si="57"/>
        <v>68.537560275340212</v>
      </c>
      <c r="AF89" s="2">
        <f t="shared" si="57"/>
        <v>-35.799413910399025</v>
      </c>
      <c r="AG89" s="2">
        <f t="shared" si="57"/>
        <v>125.55717574916747</v>
      </c>
      <c r="AH89" s="2">
        <f t="shared" si="57"/>
        <v>70.57716999305309</v>
      </c>
      <c r="AI89" s="2">
        <f t="shared" si="57"/>
        <v>0.17839961628289477</v>
      </c>
      <c r="AJ89" s="2">
        <f t="shared" si="57"/>
        <v>0.12477739416038942</v>
      </c>
      <c r="AK89" s="2">
        <f t="shared" si="57"/>
        <v>1.0402691351151667</v>
      </c>
      <c r="AL89" s="2">
        <f t="shared" si="57"/>
        <v>2.5161402457208628</v>
      </c>
      <c r="AM89" s="2">
        <f t="shared" si="57"/>
        <v>0.49144695613543449</v>
      </c>
      <c r="AN89" s="2">
        <f t="shared" si="57"/>
        <v>1.3345229179188856</v>
      </c>
      <c r="AO89" s="2">
        <f t="shared" si="57"/>
        <v>7.4013850183438062E-2</v>
      </c>
      <c r="AP89" s="2">
        <f t="shared" si="57"/>
        <v>0.1008274839388681</v>
      </c>
      <c r="AQ89" s="2">
        <f t="shared" si="57"/>
        <v>721.96207889882498</v>
      </c>
      <c r="AR89" s="2">
        <f t="shared" si="57"/>
        <v>20118.927953116348</v>
      </c>
    </row>
  </sheetData>
  <protectedRanges>
    <protectedRange sqref="V12:W20" name="نطاق3_1"/>
    <protectedRange sqref="V8:W8" name="نطاق3_2"/>
    <protectedRange sqref="X9:X24" name="نطاق3_4"/>
    <protectedRange sqref="Y8" name="نطاق3_6"/>
    <protectedRange sqref="Y9:Y24" name="نطاق3_7"/>
    <protectedRange sqref="X6:Y6" name="نطاق3_8"/>
    <protectedRange sqref="Z2:AA2" name="نطاق3_9"/>
    <protectedRange sqref="Z9:Z24" name="نطاق3_10"/>
    <protectedRange sqref="Z3" name="نطاق3_11"/>
    <protectedRange sqref="Z8" name="نطاق3_12"/>
    <protectedRange sqref="AA9:AB24" name="نطاق3_13"/>
    <protectedRange sqref="AA8:AB8" name="نطاق3_14"/>
    <protectedRange sqref="AC8:AD8" name="نطاق3_15"/>
    <protectedRange sqref="AH2 AB2:AD6" name="نطاق3_16"/>
    <protectedRange sqref="AG2:AG5" name="نطاق3_17"/>
  </protectedRanges>
  <scenarios current="0">
    <scenario name="flash 1" count="1" user="Wayne Landon" comment="Created by Wayne Landon on 2/28/2025">
      <inputCells r="AA2" val="0.982119957531923" numFmtId="169"/>
    </scenario>
  </scenarios>
  <mergeCells count="6">
    <mergeCell ref="L7:N7"/>
    <mergeCell ref="O7:P7"/>
    <mergeCell ref="L50:N50"/>
    <mergeCell ref="O50:P50"/>
    <mergeCell ref="L71:N71"/>
    <mergeCell ref="O71:P71"/>
  </mergeCells>
  <phoneticPr fontId="23" type="noConversion"/>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00B0F0"/>
  </sheetPr>
  <dimension ref="A1:AR84"/>
  <sheetViews>
    <sheetView topLeftCell="L1" workbookViewId="0">
      <selection activeCell="N38" sqref="N38"/>
    </sheetView>
  </sheetViews>
  <sheetFormatPr defaultColWidth="8.85546875" defaultRowHeight="15"/>
  <cols>
    <col min="1" max="1" width="8.85546875" style="2"/>
    <col min="2" max="2" width="18.7109375" style="2" customWidth="1"/>
    <col min="3" max="3" width="10.28515625" style="2" customWidth="1"/>
    <col min="4" max="7" width="8.85546875" style="2"/>
    <col min="8" max="8" width="9.42578125" style="2" customWidth="1"/>
    <col min="9" max="13" width="8.85546875" style="2"/>
    <col min="14" max="14" width="10" style="11" customWidth="1"/>
    <col min="15" max="16" width="8.85546875" style="16"/>
    <col min="17" max="16384" width="8.85546875" style="2"/>
  </cols>
  <sheetData>
    <row r="1" spans="1:44">
      <c r="A1" s="13" t="s">
        <v>37</v>
      </c>
    </row>
    <row r="2" spans="1:44">
      <c r="C2" s="7" t="s">
        <v>38</v>
      </c>
      <c r="D2" s="7"/>
      <c r="E2" s="7"/>
      <c r="F2" s="7" t="s">
        <v>39</v>
      </c>
      <c r="G2" s="7" t="s">
        <v>40</v>
      </c>
      <c r="H2" s="7" t="s">
        <v>41</v>
      </c>
      <c r="I2" s="7" t="s">
        <v>42</v>
      </c>
      <c r="J2" s="7" t="s">
        <v>43</v>
      </c>
      <c r="K2" s="7"/>
      <c r="L2" s="342" t="s">
        <v>44</v>
      </c>
      <c r="M2" s="343"/>
      <c r="N2" s="344"/>
      <c r="O2" s="345" t="s">
        <v>45</v>
      </c>
      <c r="P2" s="346"/>
      <c r="Q2" s="7" t="s">
        <v>46</v>
      </c>
      <c r="R2" s="7" t="s">
        <v>47</v>
      </c>
      <c r="S2" s="7" t="s">
        <v>48</v>
      </c>
      <c r="T2" s="7" t="s">
        <v>49</v>
      </c>
      <c r="U2" s="7" t="s">
        <v>50</v>
      </c>
    </row>
    <row r="3" spans="1:44">
      <c r="C3" s="8" t="s">
        <v>51</v>
      </c>
      <c r="D3" s="8" t="s">
        <v>52</v>
      </c>
      <c r="E3" s="8" t="s">
        <v>53</v>
      </c>
      <c r="F3" s="17" t="s">
        <v>54</v>
      </c>
      <c r="G3" s="17" t="s">
        <v>55</v>
      </c>
      <c r="H3" s="8" t="s">
        <v>56</v>
      </c>
      <c r="I3" s="8" t="s">
        <v>57</v>
      </c>
      <c r="J3" s="8" t="s">
        <v>58</v>
      </c>
      <c r="K3" s="8" t="s">
        <v>59</v>
      </c>
      <c r="L3" s="6" t="s">
        <v>60</v>
      </c>
      <c r="M3" s="6" t="s">
        <v>61</v>
      </c>
      <c r="N3" s="18" t="s">
        <v>62</v>
      </c>
      <c r="O3" s="19" t="s">
        <v>60</v>
      </c>
      <c r="P3" s="19" t="s">
        <v>63</v>
      </c>
      <c r="Q3" s="8" t="s">
        <v>64</v>
      </c>
      <c r="R3" s="8" t="s">
        <v>64</v>
      </c>
      <c r="S3" s="8" t="s">
        <v>65</v>
      </c>
      <c r="T3" s="8" t="s">
        <v>66</v>
      </c>
      <c r="U3" s="8" t="s">
        <v>67</v>
      </c>
    </row>
    <row r="4" spans="1:44">
      <c r="B4" s="6" t="s">
        <v>68</v>
      </c>
      <c r="C4" s="58">
        <f>'Prop Est Flash 1'!C73</f>
        <v>6.7985257048677828E-5</v>
      </c>
      <c r="D4" s="6" t="s">
        <v>4</v>
      </c>
      <c r="E4" s="18">
        <v>28.013000000000002</v>
      </c>
      <c r="F4" s="18">
        <v>-297.33199999999999</v>
      </c>
      <c r="G4" s="6"/>
      <c r="H4" s="20">
        <v>-346</v>
      </c>
      <c r="I4" s="20">
        <v>493</v>
      </c>
      <c r="J4" s="20">
        <v>-232.7</v>
      </c>
      <c r="K4" s="19">
        <v>0.99997000000000003</v>
      </c>
      <c r="L4" s="19">
        <v>0.80940000000000001</v>
      </c>
      <c r="M4" s="18">
        <f>L4*$M$19</f>
        <v>6.7479677999999996</v>
      </c>
      <c r="N4" s="18">
        <f t="shared" ref="N4:N6" si="0">E4/M4</f>
        <v>4.1513238993226977</v>
      </c>
      <c r="O4" s="19">
        <v>13.547000000000001</v>
      </c>
      <c r="P4" s="19">
        <f>13.102/O4</f>
        <v>0.96715139883369006</v>
      </c>
      <c r="Q4" s="6">
        <v>0.24840000000000001</v>
      </c>
      <c r="R4" s="6"/>
      <c r="S4" s="6"/>
      <c r="T4" s="6"/>
      <c r="U4" s="6"/>
      <c r="AC4" s="2">
        <f t="shared" ref="AC4:AR19" si="1">E4*$C4</f>
        <v>1.9044710057046122E-3</v>
      </c>
      <c r="AD4" s="2">
        <f t="shared" si="1"/>
        <v>-2.0214192448797477E-2</v>
      </c>
      <c r="AE4" s="2">
        <f t="shared" si="1"/>
        <v>0</v>
      </c>
      <c r="AF4" s="2">
        <f t="shared" si="1"/>
        <v>-2.3522898938842528E-2</v>
      </c>
      <c r="AG4" s="2">
        <f t="shared" si="1"/>
        <v>3.3516731724998167E-2</v>
      </c>
      <c r="AH4" s="2">
        <f t="shared" si="1"/>
        <v>-1.5820169315227329E-2</v>
      </c>
      <c r="AI4" s="2">
        <f t="shared" si="1"/>
        <v>6.7983217490966374E-5</v>
      </c>
      <c r="AJ4" s="2">
        <f t="shared" si="1"/>
        <v>5.5027267055199833E-5</v>
      </c>
      <c r="AK4" s="2">
        <f t="shared" si="1"/>
        <v>4.5876232543920102E-4</v>
      </c>
      <c r="AL4" s="2">
        <f t="shared" si="1"/>
        <v>2.8222882238777315E-4</v>
      </c>
      <c r="AM4" s="2">
        <f t="shared" si="1"/>
        <v>9.2099627723843858E-4</v>
      </c>
      <c r="AN4" s="2">
        <f t="shared" si="1"/>
        <v>6.5752036454696754E-5</v>
      </c>
      <c r="AO4" s="2">
        <f t="shared" si="1"/>
        <v>1.6887537850891574E-5</v>
      </c>
      <c r="AP4" s="2">
        <f t="shared" si="1"/>
        <v>0</v>
      </c>
      <c r="AQ4" s="2">
        <f t="shared" si="1"/>
        <v>0</v>
      </c>
      <c r="AR4" s="2">
        <f t="shared" si="1"/>
        <v>0</v>
      </c>
    </row>
    <row r="5" spans="1:44">
      <c r="B5" s="6" t="s">
        <v>69</v>
      </c>
      <c r="C5" s="58">
        <f>'Prop Est Flash 1'!C74</f>
        <v>3.6366158068126451E-3</v>
      </c>
      <c r="D5" s="6" t="s">
        <v>70</v>
      </c>
      <c r="E5" s="18">
        <v>44.01</v>
      </c>
      <c r="F5" s="18">
        <v>-109.32</v>
      </c>
      <c r="G5" s="6"/>
      <c r="H5" s="20">
        <v>-69.77</v>
      </c>
      <c r="I5" s="20">
        <v>1071</v>
      </c>
      <c r="J5" s="20">
        <v>87.87</v>
      </c>
      <c r="K5" s="19">
        <v>0.99429999999999996</v>
      </c>
      <c r="L5" s="19">
        <v>0.81759999999999999</v>
      </c>
      <c r="M5" s="18">
        <f t="shared" ref="M5:M18" si="2">L5*$M$19</f>
        <v>6.8163311999999996</v>
      </c>
      <c r="N5" s="18">
        <f t="shared" si="0"/>
        <v>6.4565524632957976</v>
      </c>
      <c r="O5" s="19">
        <v>8.6229999999999993</v>
      </c>
      <c r="P5" s="19">
        <f t="shared" ref="P5:P6" si="3">13.102/O5</f>
        <v>1.5194247941551666</v>
      </c>
      <c r="Q5" s="6">
        <v>0.19900000000000001</v>
      </c>
      <c r="R5" s="6"/>
      <c r="S5" s="6"/>
      <c r="T5" s="6"/>
      <c r="U5" s="6"/>
      <c r="AC5" s="2">
        <f t="shared" si="1"/>
        <v>0.16004746165782449</v>
      </c>
      <c r="AD5" s="2">
        <f t="shared" si="1"/>
        <v>-0.39755484000075836</v>
      </c>
      <c r="AE5" s="2">
        <f t="shared" si="1"/>
        <v>0</v>
      </c>
      <c r="AF5" s="2">
        <f t="shared" si="1"/>
        <v>-0.25372668484131822</v>
      </c>
      <c r="AG5" s="2">
        <f t="shared" si="1"/>
        <v>3.8948155290963427</v>
      </c>
      <c r="AH5" s="2">
        <f t="shared" si="1"/>
        <v>0.31954943094462712</v>
      </c>
      <c r="AI5" s="2">
        <f t="shared" si="1"/>
        <v>3.6158870967138127E-3</v>
      </c>
      <c r="AJ5" s="2">
        <f t="shared" si="1"/>
        <v>2.9732970836500185E-3</v>
      </c>
      <c r="AK5" s="2">
        <f t="shared" si="1"/>
        <v>2.4788377786390203E-2</v>
      </c>
      <c r="AL5" s="2">
        <f t="shared" si="1"/>
        <v>2.3480000745536619E-2</v>
      </c>
      <c r="AM5" s="2">
        <f t="shared" si="1"/>
        <v>3.1358538102145436E-2</v>
      </c>
      <c r="AN5" s="2">
        <f t="shared" si="1"/>
        <v>5.5255642236877282E-3</v>
      </c>
      <c r="AO5" s="2">
        <f t="shared" si="1"/>
        <v>7.2368654555571646E-4</v>
      </c>
      <c r="AP5" s="2">
        <f t="shared" si="1"/>
        <v>0</v>
      </c>
      <c r="AQ5" s="2">
        <f t="shared" si="1"/>
        <v>0</v>
      </c>
      <c r="AR5" s="2">
        <f t="shared" si="1"/>
        <v>0</v>
      </c>
    </row>
    <row r="6" spans="1:44">
      <c r="B6" s="6" t="s">
        <v>71</v>
      </c>
      <c r="C6" s="58">
        <f>'Prop Est Flash 1'!C75</f>
        <v>2.6081604219094173E-7</v>
      </c>
      <c r="D6" s="6" t="s">
        <v>2</v>
      </c>
      <c r="E6" s="18">
        <v>34.076000000000001</v>
      </c>
      <c r="F6" s="18">
        <v>-76.56</v>
      </c>
      <c r="G6" s="6">
        <v>387.1</v>
      </c>
      <c r="H6" s="20">
        <v>-121.58</v>
      </c>
      <c r="I6" s="20">
        <v>1036</v>
      </c>
      <c r="J6" s="20">
        <v>212.6</v>
      </c>
      <c r="K6" s="19">
        <v>0.99029999999999996</v>
      </c>
      <c r="L6" s="19">
        <v>0.78710000000000002</v>
      </c>
      <c r="M6" s="18">
        <f t="shared" si="2"/>
        <v>6.5620526999999997</v>
      </c>
      <c r="N6" s="18">
        <f t="shared" si="0"/>
        <v>5.1928872805303747</v>
      </c>
      <c r="O6" s="19">
        <v>11.135999999999999</v>
      </c>
      <c r="P6" s="19">
        <f t="shared" si="3"/>
        <v>1.1765445402298851</v>
      </c>
      <c r="Q6" s="6">
        <v>0.2379</v>
      </c>
      <c r="R6" s="6">
        <v>0.49680000000000002</v>
      </c>
      <c r="S6" s="6">
        <v>637</v>
      </c>
      <c r="T6" s="6"/>
      <c r="U6" s="6"/>
      <c r="AC6" s="2">
        <f t="shared" si="1"/>
        <v>8.8875674536985301E-6</v>
      </c>
      <c r="AD6" s="2">
        <f t="shared" si="1"/>
        <v>-1.9968076190138501E-5</v>
      </c>
      <c r="AE6" s="2">
        <f t="shared" si="1"/>
        <v>1.0096188993211355E-4</v>
      </c>
      <c r="AF6" s="2">
        <f t="shared" si="1"/>
        <v>-3.1710014409574695E-5</v>
      </c>
      <c r="AG6" s="2">
        <f t="shared" si="1"/>
        <v>2.7020541970981565E-4</v>
      </c>
      <c r="AH6" s="2">
        <f t="shared" si="1"/>
        <v>5.5449490569794209E-5</v>
      </c>
      <c r="AI6" s="2">
        <f t="shared" si="1"/>
        <v>2.582861265816896E-7</v>
      </c>
      <c r="AJ6" s="2">
        <f t="shared" si="1"/>
        <v>2.0528830680849025E-7</v>
      </c>
      <c r="AK6" s="2">
        <f t="shared" si="1"/>
        <v>1.711488613862383E-6</v>
      </c>
      <c r="AL6" s="2">
        <f t="shared" si="1"/>
        <v>1.3543883080516148E-6</v>
      </c>
      <c r="AM6" s="2">
        <f t="shared" si="1"/>
        <v>2.9044474458383269E-6</v>
      </c>
      <c r="AN6" s="2">
        <f t="shared" si="1"/>
        <v>3.0686169044411983E-7</v>
      </c>
      <c r="AO6" s="2">
        <f t="shared" si="1"/>
        <v>6.2048136437225045E-8</v>
      </c>
      <c r="AP6" s="2">
        <f t="shared" si="1"/>
        <v>1.2957340976045985E-7</v>
      </c>
      <c r="AQ6" s="2">
        <f t="shared" si="1"/>
        <v>1.6613981887562989E-4</v>
      </c>
      <c r="AR6" s="2">
        <f t="shared" si="1"/>
        <v>0</v>
      </c>
    </row>
    <row r="7" spans="1:44">
      <c r="B7" s="6" t="s">
        <v>72</v>
      </c>
      <c r="C7" s="58">
        <f>'Prop Est Flash 1'!C76</f>
        <v>1.0697228210450434E-2</v>
      </c>
      <c r="D7" s="6" t="s">
        <v>73</v>
      </c>
      <c r="E7" s="18">
        <v>16.042999999999999</v>
      </c>
      <c r="F7" s="18">
        <v>-258.7</v>
      </c>
      <c r="G7" s="6">
        <v>5000</v>
      </c>
      <c r="H7" s="20">
        <v>-296.5</v>
      </c>
      <c r="I7" s="20">
        <v>667.8</v>
      </c>
      <c r="J7" s="20">
        <v>-116.68</v>
      </c>
      <c r="K7" s="19">
        <v>0.99809999999999999</v>
      </c>
      <c r="L7" s="19">
        <v>0.3</v>
      </c>
      <c r="M7" s="18">
        <f t="shared" si="2"/>
        <v>2.5010999999999997</v>
      </c>
      <c r="N7" s="18">
        <f>E7/M7</f>
        <v>6.4143776738235179</v>
      </c>
      <c r="O7" s="19">
        <v>0.55389999999999995</v>
      </c>
      <c r="P7" s="19">
        <f>13.102/O7</f>
        <v>23.654089185773607</v>
      </c>
      <c r="Q7" s="6">
        <v>0.52659999999999996</v>
      </c>
      <c r="R7" s="6"/>
      <c r="S7" s="6">
        <v>1009.7</v>
      </c>
      <c r="T7" s="6"/>
      <c r="U7" s="6"/>
      <c r="AC7" s="2">
        <f t="shared" si="1"/>
        <v>0.1716156321802563</v>
      </c>
      <c r="AD7" s="2">
        <f t="shared" si="1"/>
        <v>-2.7673729380435272</v>
      </c>
      <c r="AE7" s="2">
        <f t="shared" si="1"/>
        <v>53.486141052252172</v>
      </c>
      <c r="AF7" s="2">
        <f t="shared" si="1"/>
        <v>-3.1717281643985538</v>
      </c>
      <c r="AG7" s="2">
        <f t="shared" si="1"/>
        <v>7.1436089989387996</v>
      </c>
      <c r="AH7" s="2">
        <f t="shared" si="1"/>
        <v>-1.2481525875953567</v>
      </c>
      <c r="AI7" s="2">
        <f t="shared" si="1"/>
        <v>1.0676903476850578E-2</v>
      </c>
      <c r="AJ7" s="2">
        <f t="shared" si="1"/>
        <v>3.2091684631351302E-3</v>
      </c>
      <c r="AK7" s="2">
        <f t="shared" si="1"/>
        <v>2.6754837477157577E-2</v>
      </c>
      <c r="AL7" s="2">
        <f t="shared" si="1"/>
        <v>6.8616061804908368E-2</v>
      </c>
      <c r="AM7" s="2">
        <f t="shared" si="1"/>
        <v>5.9251947057684948E-3</v>
      </c>
      <c r="AN7" s="2">
        <f t="shared" si="1"/>
        <v>0.25303319013056796</v>
      </c>
      <c r="AO7" s="2">
        <f t="shared" si="1"/>
        <v>5.6331603756231982E-3</v>
      </c>
      <c r="AP7" s="2">
        <f t="shared" si="1"/>
        <v>0</v>
      </c>
      <c r="AQ7" s="2">
        <f t="shared" si="1"/>
        <v>10.800991324091804</v>
      </c>
      <c r="AR7" s="2">
        <f t="shared" si="1"/>
        <v>0</v>
      </c>
    </row>
    <row r="8" spans="1:44">
      <c r="B8" s="6" t="s">
        <v>74</v>
      </c>
      <c r="C8" s="58">
        <f>'Prop Est Flash 1'!C77</f>
        <v>1.057650058930463E-2</v>
      </c>
      <c r="D8" s="6" t="s">
        <v>75</v>
      </c>
      <c r="E8" s="18">
        <v>30.7</v>
      </c>
      <c r="F8" s="18">
        <v>-127.44</v>
      </c>
      <c r="G8" s="6">
        <v>800</v>
      </c>
      <c r="H8" s="20">
        <v>-297.04000000000002</v>
      </c>
      <c r="I8" s="20">
        <v>707.8</v>
      </c>
      <c r="J8" s="20">
        <v>90.1</v>
      </c>
      <c r="K8" s="19">
        <v>0.99609999999999999</v>
      </c>
      <c r="L8" s="19">
        <v>0.35630000000000001</v>
      </c>
      <c r="M8" s="18">
        <f t="shared" si="2"/>
        <v>2.9704731</v>
      </c>
      <c r="N8" s="18">
        <f t="shared" ref="N8:N19" si="4">E8/M8</f>
        <v>10.335054035668595</v>
      </c>
      <c r="O8" s="19">
        <v>1.0382</v>
      </c>
      <c r="P8" s="19">
        <f t="shared" ref="P8:P19" si="5">13.102/O8</f>
        <v>12.619919090733962</v>
      </c>
      <c r="Q8" s="6">
        <v>0.40799999999999997</v>
      </c>
      <c r="R8" s="6">
        <v>0.92559999999999998</v>
      </c>
      <c r="S8" s="6">
        <v>1768</v>
      </c>
      <c r="T8" s="6">
        <v>65889</v>
      </c>
      <c r="U8" s="18">
        <f>N8*C8/0.3795</f>
        <v>0.28803347852106481</v>
      </c>
      <c r="AC8" s="2">
        <f t="shared" si="1"/>
        <v>0.32469856809165215</v>
      </c>
      <c r="AD8" s="2">
        <f t="shared" si="1"/>
        <v>-1.347869235100982</v>
      </c>
      <c r="AE8" s="2">
        <f t="shared" si="1"/>
        <v>8.4612004714437035</v>
      </c>
      <c r="AF8" s="2">
        <f t="shared" si="1"/>
        <v>-3.1416437350470474</v>
      </c>
      <c r="AG8" s="2">
        <f t="shared" si="1"/>
        <v>7.4860471171098171</v>
      </c>
      <c r="AH8" s="2">
        <f t="shared" si="1"/>
        <v>0.9529427030963471</v>
      </c>
      <c r="AI8" s="2">
        <f t="shared" si="1"/>
        <v>1.0535252237006342E-2</v>
      </c>
      <c r="AJ8" s="2">
        <f t="shared" si="1"/>
        <v>3.7684071599692398E-3</v>
      </c>
      <c r="AK8" s="2">
        <f t="shared" si="1"/>
        <v>3.141721049266355E-2</v>
      </c>
      <c r="AL8" s="2">
        <f t="shared" si="1"/>
        <v>0.10930870509874409</v>
      </c>
      <c r="AM8" s="2">
        <f t="shared" si="1"/>
        <v>1.0980522911816067E-2</v>
      </c>
      <c r="AN8" s="2">
        <f t="shared" si="1"/>
        <v>0.13347458170012449</v>
      </c>
      <c r="AO8" s="2">
        <f t="shared" si="1"/>
        <v>4.3152122404362886E-3</v>
      </c>
      <c r="AP8" s="2">
        <f t="shared" si="1"/>
        <v>9.7896089454603662E-3</v>
      </c>
      <c r="AQ8" s="2">
        <f t="shared" si="1"/>
        <v>18.699253041890586</v>
      </c>
      <c r="AR8" s="2">
        <f t="shared" si="1"/>
        <v>696.87504732869274</v>
      </c>
    </row>
    <row r="9" spans="1:44">
      <c r="B9" s="6" t="s">
        <v>76</v>
      </c>
      <c r="C9" s="58">
        <f>'Prop Est Flash 1'!C78</f>
        <v>2.1046885827424953E-2</v>
      </c>
      <c r="D9" s="6" t="s">
        <v>77</v>
      </c>
      <c r="E9" s="18">
        <v>44.097000000000001</v>
      </c>
      <c r="F9" s="18">
        <v>-43.73</v>
      </c>
      <c r="G9" s="6">
        <v>188</v>
      </c>
      <c r="H9" s="20">
        <v>-305.82</v>
      </c>
      <c r="I9" s="20">
        <v>616.29999999999995</v>
      </c>
      <c r="J9" s="20">
        <v>206.1</v>
      </c>
      <c r="K9" s="19">
        <v>0.98080000000000001</v>
      </c>
      <c r="L9" s="19">
        <v>0.50749999999999995</v>
      </c>
      <c r="M9" s="18">
        <f t="shared" si="2"/>
        <v>4.2310274999999997</v>
      </c>
      <c r="N9" s="18">
        <f t="shared" si="4"/>
        <v>10.422291039233379</v>
      </c>
      <c r="O9" s="19">
        <v>1.5225</v>
      </c>
      <c r="P9" s="19">
        <f t="shared" si="5"/>
        <v>8.6055829228243024</v>
      </c>
      <c r="Q9" s="6">
        <v>0.38869999999999999</v>
      </c>
      <c r="R9" s="6">
        <v>0.59019999999999995</v>
      </c>
      <c r="S9" s="6">
        <v>2517</v>
      </c>
      <c r="T9" s="6">
        <v>90962</v>
      </c>
      <c r="U9" s="18">
        <f t="shared" ref="U9:U18" si="6">N9*C9/0.3795</f>
        <v>0.57801520306439813</v>
      </c>
      <c r="AC9" s="2">
        <f t="shared" si="1"/>
        <v>0.92810452433195811</v>
      </c>
      <c r="AD9" s="2">
        <f t="shared" si="1"/>
        <v>-0.92038031723329317</v>
      </c>
      <c r="AE9" s="2">
        <f t="shared" si="1"/>
        <v>3.9568145355558912</v>
      </c>
      <c r="AF9" s="2">
        <f t="shared" si="1"/>
        <v>-6.4365586237430987</v>
      </c>
      <c r="AG9" s="2">
        <f t="shared" si="1"/>
        <v>12.971195735441997</v>
      </c>
      <c r="AH9" s="2">
        <f t="shared" si="1"/>
        <v>4.3377631690322822</v>
      </c>
      <c r="AI9" s="2">
        <f t="shared" si="1"/>
        <v>2.0642785619538393E-2</v>
      </c>
      <c r="AJ9" s="2">
        <f t="shared" si="1"/>
        <v>1.0681294557418163E-2</v>
      </c>
      <c r="AK9" s="2">
        <f t="shared" si="1"/>
        <v>8.9049952725195225E-2</v>
      </c>
      <c r="AL9" s="2">
        <f t="shared" si="1"/>
        <v>0.21935676956293909</v>
      </c>
      <c r="AM9" s="2">
        <f t="shared" si="1"/>
        <v>3.204388367225449E-2</v>
      </c>
      <c r="AN9" s="2">
        <f t="shared" si="1"/>
        <v>0.18112072125512102</v>
      </c>
      <c r="AO9" s="2">
        <f t="shared" si="1"/>
        <v>8.1809245211200785E-3</v>
      </c>
      <c r="AP9" s="2">
        <f t="shared" si="1"/>
        <v>1.2421872015346206E-2</v>
      </c>
      <c r="AQ9" s="2">
        <f t="shared" si="1"/>
        <v>52.975011627628604</v>
      </c>
      <c r="AR9" s="2">
        <f t="shared" si="1"/>
        <v>1914.4668286342285</v>
      </c>
    </row>
    <row r="10" spans="1:44">
      <c r="B10" s="6" t="s">
        <v>78</v>
      </c>
      <c r="C10" s="58">
        <f>'Prop Est Flash 1'!C79</f>
        <v>7.3686696657243728E-3</v>
      </c>
      <c r="D10" s="6" t="s">
        <v>79</v>
      </c>
      <c r="E10" s="18">
        <v>58.124000000000002</v>
      </c>
      <c r="F10" s="18">
        <v>10.74</v>
      </c>
      <c r="G10" s="6">
        <v>72.39</v>
      </c>
      <c r="H10" s="20">
        <v>-255.28</v>
      </c>
      <c r="I10" s="20">
        <v>529.1</v>
      </c>
      <c r="J10" s="20">
        <v>274.95999999999998</v>
      </c>
      <c r="K10" s="19">
        <v>0.96609999999999996</v>
      </c>
      <c r="L10" s="19">
        <v>0.56299999999999994</v>
      </c>
      <c r="M10" s="18">
        <f t="shared" si="2"/>
        <v>4.6937309999999997</v>
      </c>
      <c r="N10" s="18">
        <f t="shared" si="4"/>
        <v>12.383325759401211</v>
      </c>
      <c r="O10" s="19">
        <v>2.0068000000000001</v>
      </c>
      <c r="P10" s="19">
        <f t="shared" si="5"/>
        <v>6.5288020729519634</v>
      </c>
      <c r="Q10" s="6">
        <v>0.38669999999999999</v>
      </c>
      <c r="R10" s="6">
        <v>0.56599999999999995</v>
      </c>
      <c r="S10" s="6">
        <v>3252</v>
      </c>
      <c r="T10" s="6">
        <v>98968</v>
      </c>
      <c r="U10" s="18">
        <f t="shared" si="6"/>
        <v>0.24044436596596294</v>
      </c>
      <c r="AC10" s="2">
        <f t="shared" si="1"/>
        <v>0.42829655565056346</v>
      </c>
      <c r="AD10" s="2">
        <f t="shared" si="1"/>
        <v>7.9139512209879762E-2</v>
      </c>
      <c r="AE10" s="2">
        <f t="shared" si="1"/>
        <v>0.53341799710178739</v>
      </c>
      <c r="AF10" s="2">
        <f t="shared" si="1"/>
        <v>-1.8810739922661179</v>
      </c>
      <c r="AG10" s="2">
        <f t="shared" si="1"/>
        <v>3.8987631201347659</v>
      </c>
      <c r="AH10" s="2">
        <f t="shared" si="1"/>
        <v>2.0260894112875736</v>
      </c>
      <c r="AI10" s="2">
        <f t="shared" si="1"/>
        <v>7.1188717640563162E-3</v>
      </c>
      <c r="AJ10" s="2">
        <f t="shared" si="1"/>
        <v>4.1485610218028211E-3</v>
      </c>
      <c r="AK10" s="2">
        <f t="shared" si="1"/>
        <v>3.4586553238770121E-2</v>
      </c>
      <c r="AL10" s="2">
        <f t="shared" si="1"/>
        <v>9.124863688408294E-2</v>
      </c>
      <c r="AM10" s="2">
        <f t="shared" si="1"/>
        <v>1.4787446285175672E-2</v>
      </c>
      <c r="AN10" s="2">
        <f t="shared" si="1"/>
        <v>4.8108585788479534E-2</v>
      </c>
      <c r="AO10" s="2">
        <f t="shared" si="1"/>
        <v>2.849464559735615E-3</v>
      </c>
      <c r="AP10" s="2">
        <f t="shared" si="1"/>
        <v>4.1706670307999948E-3</v>
      </c>
      <c r="AQ10" s="2">
        <f t="shared" si="1"/>
        <v>23.962913752935659</v>
      </c>
      <c r="AR10" s="2">
        <f t="shared" si="1"/>
        <v>729.26249947740973</v>
      </c>
    </row>
    <row r="11" spans="1:44">
      <c r="B11" s="6" t="s">
        <v>80</v>
      </c>
      <c r="C11" s="58">
        <f>'Prop Est Flash 1'!C80</f>
        <v>2.2975902433236023E-2</v>
      </c>
      <c r="D11" s="6" t="s">
        <v>79</v>
      </c>
      <c r="E11" s="18">
        <v>58.124000000000002</v>
      </c>
      <c r="F11" s="18">
        <v>31.12</v>
      </c>
      <c r="G11" s="6">
        <v>51.54</v>
      </c>
      <c r="H11" s="20">
        <v>-217.05</v>
      </c>
      <c r="I11" s="20">
        <v>550.70000000000005</v>
      </c>
      <c r="J11" s="20">
        <v>305.62</v>
      </c>
      <c r="K11" s="19">
        <v>0.93669999999999998</v>
      </c>
      <c r="L11" s="19">
        <v>0.58430000000000004</v>
      </c>
      <c r="M11" s="18">
        <f t="shared" si="2"/>
        <v>4.8713091000000004</v>
      </c>
      <c r="N11" s="18">
        <f t="shared" si="4"/>
        <v>11.931905532334213</v>
      </c>
      <c r="O11" s="19">
        <v>2.0068000000000001</v>
      </c>
      <c r="P11" s="19">
        <f t="shared" si="5"/>
        <v>6.5288020729519634</v>
      </c>
      <c r="Q11" s="6">
        <v>0.39510000000000001</v>
      </c>
      <c r="R11" s="6">
        <v>0.56599999999999995</v>
      </c>
      <c r="S11" s="6">
        <v>3262</v>
      </c>
      <c r="T11" s="6">
        <v>102918</v>
      </c>
      <c r="U11" s="18">
        <f t="shared" si="6"/>
        <v>0.7223881353188405</v>
      </c>
      <c r="AC11" s="2">
        <f t="shared" si="1"/>
        <v>1.3354513530294105</v>
      </c>
      <c r="AD11" s="2">
        <f t="shared" si="1"/>
        <v>0.71501008372230501</v>
      </c>
      <c r="AE11" s="2">
        <f t="shared" si="1"/>
        <v>1.1841780114089846</v>
      </c>
      <c r="AF11" s="2">
        <f t="shared" si="1"/>
        <v>-4.986919623133879</v>
      </c>
      <c r="AG11" s="2">
        <f t="shared" si="1"/>
        <v>12.652829469983079</v>
      </c>
      <c r="AH11" s="2">
        <f t="shared" si="1"/>
        <v>7.0218953016455936</v>
      </c>
      <c r="AI11" s="2">
        <f t="shared" si="1"/>
        <v>2.1521527809212182E-2</v>
      </c>
      <c r="AJ11" s="2">
        <f t="shared" si="1"/>
        <v>1.3424819791739808E-2</v>
      </c>
      <c r="AK11" s="2">
        <f t="shared" si="1"/>
        <v>0.11192272260373479</v>
      </c>
      <c r="AL11" s="2">
        <f t="shared" si="1"/>
        <v>0.27414629735349999</v>
      </c>
      <c r="AM11" s="2">
        <f t="shared" si="1"/>
        <v>4.6108041003018053E-2</v>
      </c>
      <c r="AN11" s="2">
        <f t="shared" si="1"/>
        <v>0.1500051194340534</v>
      </c>
      <c r="AO11" s="2">
        <f t="shared" si="1"/>
        <v>9.0777790513715522E-3</v>
      </c>
      <c r="AP11" s="2">
        <f t="shared" si="1"/>
        <v>1.3004360777211588E-2</v>
      </c>
      <c r="AQ11" s="2">
        <f t="shared" si="1"/>
        <v>74.947393737215904</v>
      </c>
      <c r="AR11" s="2">
        <f t="shared" si="1"/>
        <v>2364.6339266237851</v>
      </c>
    </row>
    <row r="12" spans="1:44">
      <c r="B12" s="6" t="s">
        <v>81</v>
      </c>
      <c r="C12" s="58">
        <f>'Prop Est Flash 1'!C81</f>
        <v>1.3223090904947917E-2</v>
      </c>
      <c r="D12" s="6" t="s">
        <v>82</v>
      </c>
      <c r="E12" s="18">
        <v>72.150999999999996</v>
      </c>
      <c r="F12" s="18">
        <v>82.11</v>
      </c>
      <c r="G12" s="6">
        <v>20.443999999999999</v>
      </c>
      <c r="H12" s="20">
        <v>-255.82</v>
      </c>
      <c r="I12" s="20">
        <v>490.4</v>
      </c>
      <c r="J12" s="20">
        <v>369.03</v>
      </c>
      <c r="K12" s="19">
        <v>0.94799999999999995</v>
      </c>
      <c r="L12" s="19">
        <v>0.62439999999999996</v>
      </c>
      <c r="M12" s="18">
        <f t="shared" si="2"/>
        <v>5.2056227999999996</v>
      </c>
      <c r="N12" s="18">
        <f t="shared" si="4"/>
        <v>13.860205161234502</v>
      </c>
      <c r="O12" s="19">
        <v>2.4910999999999999</v>
      </c>
      <c r="P12" s="19">
        <f t="shared" si="5"/>
        <v>5.2595239051021645</v>
      </c>
      <c r="Q12" s="6">
        <v>0.38290000000000002</v>
      </c>
      <c r="R12" s="6">
        <v>0.5353</v>
      </c>
      <c r="S12" s="6">
        <v>4000</v>
      </c>
      <c r="T12" s="6">
        <v>108722</v>
      </c>
      <c r="U12" s="18">
        <f t="shared" si="6"/>
        <v>0.48293742505463005</v>
      </c>
      <c r="AC12" s="2">
        <f t="shared" si="1"/>
        <v>0.9540592318828971</v>
      </c>
      <c r="AD12" s="2">
        <f t="shared" si="1"/>
        <v>1.0857479942052735</v>
      </c>
      <c r="AE12" s="2">
        <f t="shared" si="1"/>
        <v>0.27033287046075521</v>
      </c>
      <c r="AF12" s="2">
        <f t="shared" si="1"/>
        <v>-3.382731115303776</v>
      </c>
      <c r="AG12" s="2">
        <f t="shared" si="1"/>
        <v>6.4846037797864584</v>
      </c>
      <c r="AH12" s="2">
        <f t="shared" si="1"/>
        <v>4.8797172366529296</v>
      </c>
      <c r="AI12" s="2">
        <f t="shared" si="1"/>
        <v>1.2535490177890624E-2</v>
      </c>
      <c r="AJ12" s="2">
        <f t="shared" si="1"/>
        <v>8.2564979610494794E-3</v>
      </c>
      <c r="AK12" s="2">
        <f t="shared" si="1"/>
        <v>6.8834423501269504E-2</v>
      </c>
      <c r="AL12" s="2">
        <f t="shared" si="1"/>
        <v>0.18327475280823211</v>
      </c>
      <c r="AM12" s="2">
        <f t="shared" si="1"/>
        <v>3.2940041753315753E-2</v>
      </c>
      <c r="AN12" s="2">
        <f t="shared" si="1"/>
        <v>6.9547162713912578E-2</v>
      </c>
      <c r="AO12" s="2">
        <f t="shared" si="1"/>
        <v>5.0631215075045578E-3</v>
      </c>
      <c r="AP12" s="2">
        <f t="shared" si="1"/>
        <v>7.0783205614186199E-3</v>
      </c>
      <c r="AQ12" s="2">
        <f t="shared" si="1"/>
        <v>52.892363619791666</v>
      </c>
      <c r="AR12" s="2">
        <f t="shared" si="1"/>
        <v>1437.6408893677474</v>
      </c>
    </row>
    <row r="13" spans="1:44">
      <c r="B13" s="6" t="s">
        <v>83</v>
      </c>
      <c r="C13" s="58">
        <f>'Prop Est Flash 1'!C82</f>
        <v>1.8467925098031895E-2</v>
      </c>
      <c r="D13" s="6" t="s">
        <v>82</v>
      </c>
      <c r="E13" s="18">
        <v>72.150999999999996</v>
      </c>
      <c r="F13" s="18">
        <v>96.91</v>
      </c>
      <c r="G13" s="6">
        <v>15.574999999999999</v>
      </c>
      <c r="H13" s="20">
        <v>-201.51</v>
      </c>
      <c r="I13" s="20">
        <v>488.6</v>
      </c>
      <c r="J13" s="20">
        <v>385.6</v>
      </c>
      <c r="K13" s="19">
        <v>0.94199999999999995</v>
      </c>
      <c r="L13" s="19">
        <v>0.63109999999999999</v>
      </c>
      <c r="M13" s="18">
        <f t="shared" si="2"/>
        <v>5.2614806999999999</v>
      </c>
      <c r="N13" s="18">
        <f t="shared" si="4"/>
        <v>13.713059899659044</v>
      </c>
      <c r="O13" s="19">
        <v>2.4910999999999999</v>
      </c>
      <c r="P13" s="19">
        <f t="shared" si="5"/>
        <v>5.2595239051021645</v>
      </c>
      <c r="Q13" s="6">
        <v>0.39900000000000002</v>
      </c>
      <c r="R13" s="6">
        <v>0.54800000000000004</v>
      </c>
      <c r="S13" s="6">
        <v>4008</v>
      </c>
      <c r="T13" s="6">
        <v>110071</v>
      </c>
      <c r="U13" s="18">
        <f t="shared" si="6"/>
        <v>0.6673300740229986</v>
      </c>
      <c r="AC13" s="2">
        <f t="shared" si="1"/>
        <v>1.3324792637480991</v>
      </c>
      <c r="AD13" s="2">
        <f t="shared" si="1"/>
        <v>1.7897266212502709</v>
      </c>
      <c r="AE13" s="2">
        <f t="shared" si="1"/>
        <v>0.28763793340184673</v>
      </c>
      <c r="AF13" s="2">
        <f t="shared" si="1"/>
        <v>-3.721471586504407</v>
      </c>
      <c r="AG13" s="2">
        <f t="shared" si="1"/>
        <v>9.0234282028983834</v>
      </c>
      <c r="AH13" s="2">
        <f t="shared" si="1"/>
        <v>7.121231917801099</v>
      </c>
      <c r="AI13" s="2">
        <f t="shared" si="1"/>
        <v>1.7396785442346043E-2</v>
      </c>
      <c r="AJ13" s="2">
        <f t="shared" si="1"/>
        <v>1.1655107529367929E-2</v>
      </c>
      <c r="AK13" s="2">
        <f t="shared" si="1"/>
        <v>9.7168631472340422E-2</v>
      </c>
      <c r="AL13" s="2">
        <f t="shared" si="1"/>
        <v>0.25325176309172798</v>
      </c>
      <c r="AM13" s="2">
        <f t="shared" si="1"/>
        <v>4.6005448211707253E-2</v>
      </c>
      <c r="AN13" s="2">
        <f t="shared" si="1"/>
        <v>9.7132493530734984E-2</v>
      </c>
      <c r="AO13" s="2">
        <f t="shared" si="1"/>
        <v>7.3687021141147268E-3</v>
      </c>
      <c r="AP13" s="2">
        <f t="shared" si="1"/>
        <v>1.0120422953721479E-2</v>
      </c>
      <c r="AQ13" s="2">
        <f t="shared" si="1"/>
        <v>74.019443792911829</v>
      </c>
      <c r="AR13" s="2">
        <f t="shared" si="1"/>
        <v>2032.7829834654688</v>
      </c>
    </row>
    <row r="14" spans="1:44">
      <c r="B14" s="6" t="s">
        <v>84</v>
      </c>
      <c r="C14" s="58">
        <f>'Prop Est Flash 1'!C83</f>
        <v>5.9125009888605411E-2</v>
      </c>
      <c r="D14" s="6" t="s">
        <v>85</v>
      </c>
      <c r="E14" s="18">
        <v>86.177999999999997</v>
      </c>
      <c r="F14" s="18">
        <v>155.72999999999999</v>
      </c>
      <c r="G14" s="6">
        <v>4.96</v>
      </c>
      <c r="H14" s="20">
        <v>-139.58000000000001</v>
      </c>
      <c r="I14" s="20">
        <v>710.4</v>
      </c>
      <c r="J14" s="20">
        <v>453.6</v>
      </c>
      <c r="K14" s="19">
        <v>0.91</v>
      </c>
      <c r="L14" s="19">
        <v>0.66400000000000003</v>
      </c>
      <c r="M14" s="18">
        <f t="shared" si="2"/>
        <v>5.535768</v>
      </c>
      <c r="N14" s="18">
        <f t="shared" si="4"/>
        <v>15.567487654829465</v>
      </c>
      <c r="O14" s="19">
        <v>2.9752999999999998</v>
      </c>
      <c r="P14" s="19">
        <f t="shared" si="5"/>
        <v>4.4035895539945553</v>
      </c>
      <c r="Q14" s="6">
        <v>0.38569999999999999</v>
      </c>
      <c r="R14" s="6">
        <v>0.53320000000000001</v>
      </c>
      <c r="S14" s="6">
        <v>4756</v>
      </c>
      <c r="T14" s="6">
        <v>115055</v>
      </c>
      <c r="U14" s="18">
        <f t="shared" si="6"/>
        <v>2.4253698591107633</v>
      </c>
      <c r="AC14" s="2">
        <f t="shared" si="1"/>
        <v>5.0952751021802367</v>
      </c>
      <c r="AD14" s="2">
        <f t="shared" si="1"/>
        <v>9.2075377899525197</v>
      </c>
      <c r="AE14" s="2">
        <f t="shared" si="1"/>
        <v>0.29326004904748282</v>
      </c>
      <c r="AF14" s="2">
        <f t="shared" si="1"/>
        <v>-8.2526688802515444</v>
      </c>
      <c r="AG14" s="2">
        <f t="shared" si="1"/>
        <v>42.002407024865285</v>
      </c>
      <c r="AH14" s="2">
        <f t="shared" si="1"/>
        <v>26.819104485471417</v>
      </c>
      <c r="AI14" s="2">
        <f t="shared" si="1"/>
        <v>5.3803758998630928E-2</v>
      </c>
      <c r="AJ14" s="2">
        <f t="shared" si="1"/>
        <v>3.9259006566033997E-2</v>
      </c>
      <c r="AK14" s="2">
        <f t="shared" si="1"/>
        <v>0.32730233774102541</v>
      </c>
      <c r="AL14" s="2">
        <f t="shared" si="1"/>
        <v>0.92042786153253475</v>
      </c>
      <c r="AM14" s="2">
        <f t="shared" si="1"/>
        <v>0.17591464192156767</v>
      </c>
      <c r="AN14" s="2">
        <f t="shared" si="1"/>
        <v>0.2603622759252876</v>
      </c>
      <c r="AO14" s="2">
        <f t="shared" si="1"/>
        <v>2.2804516314035107E-2</v>
      </c>
      <c r="AP14" s="2">
        <f t="shared" si="1"/>
        <v>3.1525455272604405E-2</v>
      </c>
      <c r="AQ14" s="2">
        <f t="shared" si="1"/>
        <v>281.19854703020735</v>
      </c>
      <c r="AR14" s="2">
        <f t="shared" si="1"/>
        <v>6802.6280127334958</v>
      </c>
    </row>
    <row r="15" spans="1:44">
      <c r="B15" s="6" t="s">
        <v>86</v>
      </c>
      <c r="C15" s="58">
        <f>'Prop Est Flash 1'!C84</f>
        <v>1.7739001651467391E-2</v>
      </c>
      <c r="D15" s="6" t="s">
        <v>87</v>
      </c>
      <c r="E15" s="18">
        <v>78.114000000000004</v>
      </c>
      <c r="F15" s="18">
        <v>176.16</v>
      </c>
      <c r="G15" s="6">
        <v>3.2250000000000001</v>
      </c>
      <c r="H15" s="20">
        <v>41.96</v>
      </c>
      <c r="I15" s="20">
        <v>710.4</v>
      </c>
      <c r="J15" s="20">
        <v>552.22</v>
      </c>
      <c r="K15" s="19">
        <v>0.92900000000000005</v>
      </c>
      <c r="L15" s="19">
        <v>0.88449999999999995</v>
      </c>
      <c r="M15" s="18">
        <f t="shared" si="2"/>
        <v>7.3740764999999993</v>
      </c>
      <c r="N15" s="18">
        <f t="shared" si="4"/>
        <v>10.593055279532292</v>
      </c>
      <c r="O15" s="19">
        <v>2.6968999999999999</v>
      </c>
      <c r="P15" s="19">
        <f t="shared" si="5"/>
        <v>4.8581704920464244</v>
      </c>
      <c r="Q15" s="6">
        <v>0.2422</v>
      </c>
      <c r="R15" s="6">
        <v>0.4098</v>
      </c>
      <c r="S15" s="6">
        <v>3741</v>
      </c>
      <c r="T15" s="6">
        <v>132651</v>
      </c>
      <c r="U15" s="18">
        <f t="shared" si="6"/>
        <v>0.49515210829435752</v>
      </c>
      <c r="AC15" s="2">
        <f t="shared" si="1"/>
        <v>1.3856643750027238</v>
      </c>
      <c r="AD15" s="2">
        <f t="shared" si="1"/>
        <v>3.1249025309224954</v>
      </c>
      <c r="AE15" s="2">
        <f t="shared" si="1"/>
        <v>5.7208280325982339E-2</v>
      </c>
      <c r="AF15" s="2">
        <f t="shared" si="1"/>
        <v>0.74432850929557171</v>
      </c>
      <c r="AG15" s="2">
        <f t="shared" si="1"/>
        <v>12.601786773202434</v>
      </c>
      <c r="AH15" s="2">
        <f t="shared" si="1"/>
        <v>9.795831491973324</v>
      </c>
      <c r="AI15" s="2">
        <f t="shared" si="1"/>
        <v>1.6479532534213207E-2</v>
      </c>
      <c r="AJ15" s="2">
        <f t="shared" si="1"/>
        <v>1.5690146960722906E-2</v>
      </c>
      <c r="AK15" s="2">
        <f t="shared" si="1"/>
        <v>0.13080875521154686</v>
      </c>
      <c r="AL15" s="2">
        <f t="shared" si="1"/>
        <v>0.18791022509770869</v>
      </c>
      <c r="AM15" s="2">
        <f t="shared" si="1"/>
        <v>4.7840313553842405E-2</v>
      </c>
      <c r="AN15" s="2">
        <f t="shared" si="1"/>
        <v>8.6179094381521673E-2</v>
      </c>
      <c r="AO15" s="2">
        <f t="shared" si="1"/>
        <v>4.2963861999854025E-3</v>
      </c>
      <c r="AP15" s="2">
        <f t="shared" si="1"/>
        <v>7.269442876771337E-3</v>
      </c>
      <c r="AQ15" s="2">
        <f t="shared" si="1"/>
        <v>66.361605178139513</v>
      </c>
      <c r="AR15" s="2">
        <f t="shared" si="1"/>
        <v>2353.0963080688011</v>
      </c>
    </row>
    <row r="16" spans="1:44">
      <c r="B16" s="6" t="s">
        <v>88</v>
      </c>
      <c r="C16" s="58">
        <f>'Prop Est Flash 1'!C85</f>
        <v>4.4347504128668478E-3</v>
      </c>
      <c r="D16" s="6" t="s">
        <v>89</v>
      </c>
      <c r="E16" s="18">
        <v>92.141000000000005</v>
      </c>
      <c r="F16" s="18">
        <v>231.13</v>
      </c>
      <c r="G16" s="6">
        <v>1.0029999999999999</v>
      </c>
      <c r="H16" s="20">
        <v>-138.97999999999999</v>
      </c>
      <c r="I16" s="20">
        <v>595.5</v>
      </c>
      <c r="J16" s="20">
        <v>605.57000000000005</v>
      </c>
      <c r="K16" s="19">
        <v>0.90300000000000002</v>
      </c>
      <c r="L16" s="19">
        <v>0.87190000000000001</v>
      </c>
      <c r="M16" s="18">
        <f t="shared" si="2"/>
        <v>7.2690302999999998</v>
      </c>
      <c r="N16" s="18">
        <f t="shared" si="4"/>
        <v>12.675831052733404</v>
      </c>
      <c r="O16" s="19">
        <v>3.1812</v>
      </c>
      <c r="P16" s="19">
        <f t="shared" si="5"/>
        <v>4.118571608198164</v>
      </c>
      <c r="Q16" s="6">
        <v>0.25979999999999998</v>
      </c>
      <c r="R16" s="6">
        <v>0.40089999999999998</v>
      </c>
      <c r="S16" s="6">
        <v>4475</v>
      </c>
      <c r="T16" s="6">
        <v>132659</v>
      </c>
      <c r="U16" s="18">
        <f t="shared" si="6"/>
        <v>0.14812686955082971</v>
      </c>
      <c r="AC16" s="2">
        <f t="shared" si="1"/>
        <v>0.40862233779196427</v>
      </c>
      <c r="AD16" s="2">
        <f t="shared" si="1"/>
        <v>1.0250038629259146</v>
      </c>
      <c r="AE16" s="2">
        <f t="shared" si="1"/>
        <v>4.4480546641054476E-3</v>
      </c>
      <c r="AF16" s="2">
        <f t="shared" si="1"/>
        <v>-0.61634161238023444</v>
      </c>
      <c r="AG16" s="2">
        <f t="shared" si="1"/>
        <v>2.6408938708622078</v>
      </c>
      <c r="AH16" s="2">
        <f t="shared" si="1"/>
        <v>2.6855518075197771</v>
      </c>
      <c r="AI16" s="2">
        <f t="shared" si="1"/>
        <v>4.0045796228187639E-3</v>
      </c>
      <c r="AJ16" s="2">
        <f t="shared" si="1"/>
        <v>3.8666588849786045E-3</v>
      </c>
      <c r="AK16" s="2">
        <f t="shared" si="1"/>
        <v>3.2236335124066623E-2</v>
      </c>
      <c r="AL16" s="2">
        <f t="shared" si="1"/>
        <v>5.6214146994539874E-2</v>
      </c>
      <c r="AM16" s="2">
        <f t="shared" si="1"/>
        <v>1.4107828013412016E-2</v>
      </c>
      <c r="AN16" s="2">
        <f t="shared" si="1"/>
        <v>1.8264837139878486E-2</v>
      </c>
      <c r="AO16" s="2">
        <f t="shared" si="1"/>
        <v>1.1521481572628069E-3</v>
      </c>
      <c r="AP16" s="2">
        <f t="shared" si="1"/>
        <v>1.7778914405183193E-3</v>
      </c>
      <c r="AQ16" s="2">
        <f t="shared" si="1"/>
        <v>19.845508097579145</v>
      </c>
      <c r="AR16" s="2">
        <f t="shared" si="1"/>
        <v>588.30955502050313</v>
      </c>
    </row>
    <row r="17" spans="1:44">
      <c r="B17" s="6" t="s">
        <v>90</v>
      </c>
      <c r="C17" s="58">
        <f>'Prop Est Flash 1'!C86</f>
        <v>4.4347504128668478E-3</v>
      </c>
      <c r="D17" s="6" t="s">
        <v>91</v>
      </c>
      <c r="E17" s="18">
        <v>106.16800000000001</v>
      </c>
      <c r="F17" s="18">
        <v>277.16000000000003</v>
      </c>
      <c r="G17" s="6">
        <v>0.37159999999999999</v>
      </c>
      <c r="H17" s="20">
        <v>-138.96</v>
      </c>
      <c r="I17" s="20">
        <v>523.4</v>
      </c>
      <c r="J17" s="20">
        <v>651.29</v>
      </c>
      <c r="K17" s="19"/>
      <c r="L17" s="19">
        <v>0.87170000000000003</v>
      </c>
      <c r="M17" s="18">
        <f t="shared" si="2"/>
        <v>7.2673629000000002</v>
      </c>
      <c r="N17" s="18">
        <f t="shared" si="4"/>
        <v>14.608875524848223</v>
      </c>
      <c r="O17" s="19">
        <v>3.6655000000000002</v>
      </c>
      <c r="P17" s="19">
        <f t="shared" si="5"/>
        <v>3.5744100395580412</v>
      </c>
      <c r="Q17" s="6">
        <v>0.27950000000000003</v>
      </c>
      <c r="R17" s="6">
        <v>0.4113</v>
      </c>
      <c r="S17" s="6">
        <v>5222</v>
      </c>
      <c r="T17" s="6">
        <v>134381</v>
      </c>
      <c r="U17" s="18">
        <f t="shared" si="6"/>
        <v>0.17071598620643227</v>
      </c>
      <c r="AC17" s="2">
        <f t="shared" si="1"/>
        <v>0.47082858183324755</v>
      </c>
      <c r="AD17" s="2">
        <f t="shared" si="1"/>
        <v>1.2291354244301755</v>
      </c>
      <c r="AE17" s="2">
        <f t="shared" si="1"/>
        <v>1.6479532534213206E-3</v>
      </c>
      <c r="AF17" s="2">
        <f t="shared" si="1"/>
        <v>-0.61625291737197718</v>
      </c>
      <c r="AG17" s="2">
        <f t="shared" si="1"/>
        <v>2.321148366094508</v>
      </c>
      <c r="AH17" s="2">
        <f t="shared" si="1"/>
        <v>2.8883085963960493</v>
      </c>
      <c r="AI17" s="2">
        <f t="shared" si="1"/>
        <v>0</v>
      </c>
      <c r="AJ17" s="2">
        <f t="shared" si="1"/>
        <v>3.8657719348960313E-3</v>
      </c>
      <c r="AK17" s="2">
        <f t="shared" si="1"/>
        <v>3.2228940621228212E-2</v>
      </c>
      <c r="AL17" s="2">
        <f t="shared" si="1"/>
        <v>6.4786716765341049E-2</v>
      </c>
      <c r="AM17" s="2">
        <f t="shared" si="1"/>
        <v>1.6255577638363432E-2</v>
      </c>
      <c r="AN17" s="2">
        <f t="shared" si="1"/>
        <v>1.5851616398685427E-2</v>
      </c>
      <c r="AO17" s="2">
        <f t="shared" si="1"/>
        <v>1.2395127403962841E-3</v>
      </c>
      <c r="AP17" s="2">
        <f t="shared" si="1"/>
        <v>1.8240128448121346E-3</v>
      </c>
      <c r="AQ17" s="2">
        <f t="shared" si="1"/>
        <v>23.15826665599068</v>
      </c>
      <c r="AR17" s="2">
        <f t="shared" si="1"/>
        <v>595.94619523145991</v>
      </c>
    </row>
    <row r="18" spans="1:44">
      <c r="B18" s="6" t="s">
        <v>92</v>
      </c>
      <c r="C18" s="58">
        <f>'Prop Est Flash 1'!C87</f>
        <v>4.4347504128668478E-3</v>
      </c>
      <c r="D18" s="6" t="s">
        <v>93</v>
      </c>
      <c r="E18" s="18">
        <v>106.16800000000001</v>
      </c>
      <c r="F18" s="18">
        <v>291.97000000000003</v>
      </c>
      <c r="G18" s="6">
        <v>0.26429999999999998</v>
      </c>
      <c r="H18" s="20">
        <v>-13.32</v>
      </c>
      <c r="I18" s="20">
        <v>541.6</v>
      </c>
      <c r="J18" s="20">
        <v>674.92</v>
      </c>
      <c r="K18" s="19"/>
      <c r="L18" s="19">
        <v>0.88470000000000004</v>
      </c>
      <c r="M18" s="18">
        <f t="shared" si="2"/>
        <v>7.3757438999999998</v>
      </c>
      <c r="N18" s="18">
        <f t="shared" si="4"/>
        <v>14.394209104792807</v>
      </c>
      <c r="O18" s="19">
        <v>3.6655000000000002</v>
      </c>
      <c r="P18" s="19">
        <f t="shared" si="5"/>
        <v>3.5744100395580412</v>
      </c>
      <c r="Q18" s="6">
        <v>0.29139999999999999</v>
      </c>
      <c r="R18" s="6">
        <v>0.41610000000000003</v>
      </c>
      <c r="S18" s="6">
        <v>5209</v>
      </c>
      <c r="T18" s="6">
        <v>136036</v>
      </c>
      <c r="U18" s="18">
        <f t="shared" si="6"/>
        <v>0.16820744340018876</v>
      </c>
      <c r="AC18" s="2">
        <f t="shared" si="1"/>
        <v>0.47082858183324755</v>
      </c>
      <c r="AD18" s="2">
        <f t="shared" si="1"/>
        <v>1.2948140780447337</v>
      </c>
      <c r="AE18" s="2">
        <f t="shared" si="1"/>
        <v>1.1721045341207077E-3</v>
      </c>
      <c r="AF18" s="2">
        <f t="shared" si="1"/>
        <v>-5.9070875499386416E-2</v>
      </c>
      <c r="AG18" s="2">
        <f t="shared" si="1"/>
        <v>2.4018608236086849</v>
      </c>
      <c r="AH18" s="2">
        <f t="shared" si="1"/>
        <v>2.9931017486520926</v>
      </c>
      <c r="AI18" s="2">
        <f t="shared" si="1"/>
        <v>0</v>
      </c>
      <c r="AJ18" s="2">
        <f t="shared" si="1"/>
        <v>3.9234236902633002E-3</v>
      </c>
      <c r="AK18" s="2">
        <f t="shared" si="1"/>
        <v>3.2709583305725133E-2</v>
      </c>
      <c r="AL18" s="2">
        <f t="shared" si="1"/>
        <v>6.3834724770371637E-2</v>
      </c>
      <c r="AM18" s="2">
        <f t="shared" si="1"/>
        <v>1.6255577638363432E-2</v>
      </c>
      <c r="AN18" s="2">
        <f t="shared" si="1"/>
        <v>1.5851616398685427E-2</v>
      </c>
      <c r="AO18" s="2">
        <f t="shared" si="1"/>
        <v>1.2922862703093993E-3</v>
      </c>
      <c r="AP18" s="2">
        <f t="shared" si="1"/>
        <v>1.8452996467938955E-3</v>
      </c>
      <c r="AQ18" s="2">
        <f t="shared" si="1"/>
        <v>23.100614900623409</v>
      </c>
      <c r="AR18" s="2">
        <f t="shared" si="1"/>
        <v>603.28570716475451</v>
      </c>
    </row>
    <row r="19" spans="1:44">
      <c r="B19" s="6" t="s">
        <v>1</v>
      </c>
      <c r="C19" s="58">
        <f>'Prop Est Flash 1'!C88</f>
        <v>0</v>
      </c>
      <c r="D19" s="6" t="s">
        <v>94</v>
      </c>
      <c r="E19" s="18">
        <v>18.015000000000001</v>
      </c>
      <c r="F19" s="18">
        <v>212</v>
      </c>
      <c r="G19" s="6">
        <v>0.94950000000000001</v>
      </c>
      <c r="H19" s="20">
        <v>32</v>
      </c>
      <c r="I19" s="20">
        <v>3207.9</v>
      </c>
      <c r="J19" s="20">
        <v>705.5</v>
      </c>
      <c r="K19" s="19">
        <v>0.34339999999999998</v>
      </c>
      <c r="L19" s="19">
        <v>1</v>
      </c>
      <c r="M19" s="18">
        <v>8.3369999999999997</v>
      </c>
      <c r="N19" s="18">
        <f t="shared" si="4"/>
        <v>2.1608492263404102</v>
      </c>
      <c r="O19" s="19">
        <v>21.06</v>
      </c>
      <c r="P19" s="19">
        <f t="shared" si="5"/>
        <v>0.62212725546058889</v>
      </c>
      <c r="Q19" s="6">
        <v>0.44469999999999998</v>
      </c>
      <c r="R19" s="6">
        <v>1.0009999999999999</v>
      </c>
      <c r="S19" s="6">
        <v>49</v>
      </c>
      <c r="T19" s="6">
        <v>0</v>
      </c>
      <c r="U19" s="18"/>
      <c r="AC19" s="2">
        <f t="shared" si="1"/>
        <v>0</v>
      </c>
      <c r="AD19" s="2">
        <f t="shared" si="1"/>
        <v>0</v>
      </c>
      <c r="AE19" s="2">
        <f t="shared" si="1"/>
        <v>0</v>
      </c>
      <c r="AF19" s="2">
        <f t="shared" si="1"/>
        <v>0</v>
      </c>
      <c r="AG19" s="2">
        <f t="shared" si="1"/>
        <v>0</v>
      </c>
      <c r="AH19" s="2">
        <f t="shared" si="1"/>
        <v>0</v>
      </c>
      <c r="AI19" s="2">
        <f t="shared" si="1"/>
        <v>0</v>
      </c>
      <c r="AJ19" s="2">
        <f t="shared" si="1"/>
        <v>0</v>
      </c>
      <c r="AK19" s="2">
        <f t="shared" si="1"/>
        <v>0</v>
      </c>
      <c r="AL19" s="2">
        <f t="shared" si="1"/>
        <v>0</v>
      </c>
      <c r="AM19" s="2">
        <f t="shared" si="1"/>
        <v>0</v>
      </c>
      <c r="AN19" s="2">
        <f t="shared" si="1"/>
        <v>0</v>
      </c>
      <c r="AO19" s="2">
        <f t="shared" si="1"/>
        <v>0</v>
      </c>
      <c r="AP19" s="2">
        <f t="shared" si="1"/>
        <v>0</v>
      </c>
      <c r="AQ19" s="2">
        <f t="shared" si="1"/>
        <v>0</v>
      </c>
      <c r="AR19" s="2">
        <f t="shared" ref="AR19" si="7">T19*$C19</f>
        <v>0</v>
      </c>
    </row>
    <row r="20" spans="1:44">
      <c r="B20" s="21" t="s">
        <v>95</v>
      </c>
      <c r="C20" s="33">
        <f>SUM(C4:C19)</f>
        <v>0.19822932738769705</v>
      </c>
      <c r="D20" s="21"/>
      <c r="E20" s="22">
        <f>AC20</f>
        <v>13.467884927787241</v>
      </c>
      <c r="F20" s="22">
        <f t="shared" ref="F20:T20" si="8">AD20</f>
        <v>14.097606406760018</v>
      </c>
      <c r="G20" s="22">
        <f t="shared" si="8"/>
        <v>68.537560275340212</v>
      </c>
      <c r="H20" s="22">
        <f t="shared" si="8"/>
        <v>-35.799413910399025</v>
      </c>
      <c r="I20" s="22">
        <f t="shared" si="8"/>
        <v>125.55717574916747</v>
      </c>
      <c r="J20" s="22">
        <f t="shared" si="8"/>
        <v>70.57716999305309</v>
      </c>
      <c r="K20" s="22">
        <f t="shared" si="8"/>
        <v>0.17839961628289477</v>
      </c>
      <c r="L20" s="22">
        <f t="shared" si="8"/>
        <v>0.12477739416038942</v>
      </c>
      <c r="M20" s="22">
        <f t="shared" si="8"/>
        <v>1.0402691351151667</v>
      </c>
      <c r="N20" s="22">
        <f t="shared" si="8"/>
        <v>2.5161402457208628</v>
      </c>
      <c r="O20" s="22">
        <f t="shared" si="8"/>
        <v>0.49144695613543449</v>
      </c>
      <c r="P20" s="22">
        <f t="shared" si="8"/>
        <v>1.3345229179188856</v>
      </c>
      <c r="Q20" s="22">
        <f t="shared" si="8"/>
        <v>7.4013850183438062E-2</v>
      </c>
      <c r="R20" s="22">
        <f t="shared" si="8"/>
        <v>0.1008274839388681</v>
      </c>
      <c r="S20" s="22">
        <f t="shared" si="8"/>
        <v>721.96207889882498</v>
      </c>
      <c r="T20" s="22">
        <f t="shared" si="8"/>
        <v>20118.927953116348</v>
      </c>
      <c r="U20" s="22">
        <f>SUM(U8:U18)</f>
        <v>6.386720948510467</v>
      </c>
      <c r="V20" s="11"/>
      <c r="W20" s="11"/>
      <c r="X20" s="11"/>
      <c r="Y20" s="11"/>
      <c r="Z20" s="11"/>
      <c r="AA20" s="11"/>
      <c r="AC20" s="2">
        <f>SUM(AC4:AC19)</f>
        <v>13.467884927787241</v>
      </c>
      <c r="AD20" s="2">
        <f t="shared" ref="AD20:AR20" si="9">SUM(AD4:AD19)</f>
        <v>14.097606406760018</v>
      </c>
      <c r="AE20" s="2">
        <f t="shared" si="9"/>
        <v>68.537560275340212</v>
      </c>
      <c r="AF20" s="2">
        <f t="shared" si="9"/>
        <v>-35.799413910399025</v>
      </c>
      <c r="AG20" s="2">
        <f t="shared" si="9"/>
        <v>125.55717574916747</v>
      </c>
      <c r="AH20" s="2">
        <f t="shared" si="9"/>
        <v>70.57716999305309</v>
      </c>
      <c r="AI20" s="2">
        <f t="shared" si="9"/>
        <v>0.17839961628289477</v>
      </c>
      <c r="AJ20" s="2">
        <f t="shared" si="9"/>
        <v>0.12477739416038942</v>
      </c>
      <c r="AK20" s="2">
        <f t="shared" si="9"/>
        <v>1.0402691351151667</v>
      </c>
      <c r="AL20" s="2">
        <f t="shared" si="9"/>
        <v>2.5161402457208628</v>
      </c>
      <c r="AM20" s="2">
        <f t="shared" si="9"/>
        <v>0.49144695613543449</v>
      </c>
      <c r="AN20" s="2">
        <f t="shared" si="9"/>
        <v>1.3345229179188856</v>
      </c>
      <c r="AO20" s="2">
        <f t="shared" si="9"/>
        <v>7.4013850183438062E-2</v>
      </c>
      <c r="AP20" s="2">
        <f t="shared" si="9"/>
        <v>0.1008274839388681</v>
      </c>
      <c r="AQ20" s="2">
        <f t="shared" si="9"/>
        <v>721.96207889882498</v>
      </c>
      <c r="AR20" s="2">
        <f t="shared" si="9"/>
        <v>20118.927953116348</v>
      </c>
    </row>
    <row r="21" spans="1:44">
      <c r="E21" s="11"/>
      <c r="F21" s="11"/>
      <c r="G21" s="11"/>
      <c r="H21" s="11"/>
      <c r="I21" s="11"/>
      <c r="J21" s="11"/>
      <c r="K21" s="11"/>
      <c r="L21" s="11"/>
      <c r="M21" s="11"/>
      <c r="O21" s="11"/>
      <c r="P21" s="11" t="s">
        <v>12</v>
      </c>
      <c r="Q21" s="11"/>
      <c r="R21" s="11"/>
      <c r="S21" s="11"/>
      <c r="T21" s="11"/>
      <c r="U21" s="11"/>
      <c r="V21" s="11"/>
      <c r="W21" s="11"/>
      <c r="X21" s="11"/>
      <c r="Y21" s="11"/>
      <c r="Z21" s="11"/>
      <c r="AA21" s="11"/>
    </row>
    <row r="22" spans="1:44">
      <c r="A22" s="13" t="s">
        <v>96</v>
      </c>
    </row>
    <row r="23" spans="1:44">
      <c r="C23" s="7" t="s">
        <v>97</v>
      </c>
    </row>
    <row r="24" spans="1:44">
      <c r="C24" s="8" t="s">
        <v>98</v>
      </c>
      <c r="K24" s="23" t="s">
        <v>237</v>
      </c>
      <c r="M24" s="2" t="s">
        <v>239</v>
      </c>
      <c r="N24" s="11">
        <f>1-N38</f>
        <v>1</v>
      </c>
    </row>
    <row r="25" spans="1:44">
      <c r="B25" s="6" t="s">
        <v>68</v>
      </c>
      <c r="C25" s="31">
        <v>0</v>
      </c>
      <c r="AB25" s="2">
        <f>C4*C25</f>
        <v>0</v>
      </c>
    </row>
    <row r="26" spans="1:44">
      <c r="B26" s="6" t="s">
        <v>69</v>
      </c>
      <c r="C26" s="31">
        <v>0</v>
      </c>
      <c r="AB26" s="2">
        <f t="shared" ref="AB26:AB40" si="10">C5*C26</f>
        <v>0</v>
      </c>
    </row>
    <row r="27" spans="1:44">
      <c r="B27" s="6" t="s">
        <v>71</v>
      </c>
      <c r="C27" s="31">
        <v>0</v>
      </c>
      <c r="AB27" s="2">
        <f t="shared" si="10"/>
        <v>0</v>
      </c>
    </row>
    <row r="28" spans="1:44">
      <c r="B28" s="6" t="s">
        <v>72</v>
      </c>
      <c r="C28" s="31">
        <v>0</v>
      </c>
      <c r="AB28" s="2">
        <f t="shared" si="10"/>
        <v>0</v>
      </c>
    </row>
    <row r="29" spans="1:44">
      <c r="B29" s="6" t="s">
        <v>74</v>
      </c>
      <c r="C29" s="31">
        <v>0</v>
      </c>
      <c r="AB29" s="2">
        <f t="shared" si="10"/>
        <v>0</v>
      </c>
    </row>
    <row r="30" spans="1:44">
      <c r="B30" s="6" t="s">
        <v>76</v>
      </c>
      <c r="C30" s="31">
        <v>0</v>
      </c>
      <c r="G30" s="23" t="s">
        <v>58</v>
      </c>
      <c r="AB30" s="2">
        <f t="shared" si="10"/>
        <v>0</v>
      </c>
    </row>
    <row r="31" spans="1:44">
      <c r="B31" s="6" t="s">
        <v>78</v>
      </c>
      <c r="C31" s="31">
        <v>0</v>
      </c>
      <c r="AB31" s="2">
        <f t="shared" si="10"/>
        <v>0</v>
      </c>
    </row>
    <row r="32" spans="1:44">
      <c r="B32" s="6" t="s">
        <v>80</v>
      </c>
      <c r="C32" s="31">
        <v>0</v>
      </c>
      <c r="AB32" s="2">
        <f t="shared" si="10"/>
        <v>0</v>
      </c>
    </row>
    <row r="33" spans="1:44">
      <c r="B33" s="6" t="s">
        <v>81</v>
      </c>
      <c r="C33" s="31">
        <v>0</v>
      </c>
      <c r="G33" s="2">
        <f>C20</f>
        <v>0.19822932738769705</v>
      </c>
      <c r="AB33" s="2">
        <f t="shared" si="10"/>
        <v>0</v>
      </c>
    </row>
    <row r="34" spans="1:44">
      <c r="B34" s="6" t="s">
        <v>83</v>
      </c>
      <c r="C34" s="31">
        <v>0</v>
      </c>
      <c r="AB34" s="2">
        <f t="shared" si="10"/>
        <v>0</v>
      </c>
    </row>
    <row r="35" spans="1:44">
      <c r="B35" s="6" t="s">
        <v>84</v>
      </c>
      <c r="C35" s="31">
        <v>0</v>
      </c>
      <c r="AB35" s="2">
        <f t="shared" si="10"/>
        <v>0</v>
      </c>
    </row>
    <row r="36" spans="1:44">
      <c r="B36" s="6" t="s">
        <v>86</v>
      </c>
      <c r="C36" s="31">
        <v>0</v>
      </c>
      <c r="AB36" s="2">
        <f t="shared" si="10"/>
        <v>0</v>
      </c>
    </row>
    <row r="37" spans="1:44">
      <c r="B37" s="6" t="s">
        <v>88</v>
      </c>
      <c r="C37" s="31">
        <v>0</v>
      </c>
      <c r="AB37" s="2">
        <f t="shared" si="10"/>
        <v>0</v>
      </c>
    </row>
    <row r="38" spans="1:44">
      <c r="B38" s="6" t="s">
        <v>90</v>
      </c>
      <c r="C38" s="31">
        <v>0</v>
      </c>
      <c r="K38" s="23" t="s">
        <v>238</v>
      </c>
      <c r="M38" s="2" t="s">
        <v>240</v>
      </c>
      <c r="N38" s="11">
        <f>AB41</f>
        <v>0</v>
      </c>
      <c r="AB38" s="2">
        <f t="shared" si="10"/>
        <v>0</v>
      </c>
    </row>
    <row r="39" spans="1:44">
      <c r="B39" s="6" t="s">
        <v>92</v>
      </c>
      <c r="C39" s="31">
        <v>0</v>
      </c>
      <c r="AB39" s="2">
        <f t="shared" si="10"/>
        <v>0</v>
      </c>
    </row>
    <row r="40" spans="1:44">
      <c r="B40" s="6" t="s">
        <v>1</v>
      </c>
      <c r="C40" s="31">
        <v>1</v>
      </c>
      <c r="AB40" s="2">
        <f t="shared" si="10"/>
        <v>0</v>
      </c>
    </row>
    <row r="41" spans="1:44">
      <c r="AB41" s="2">
        <f>SUM(AB25:AB40)</f>
        <v>0</v>
      </c>
    </row>
    <row r="44" spans="1:44">
      <c r="A44" s="13" t="s">
        <v>237</v>
      </c>
    </row>
    <row r="45" spans="1:44">
      <c r="C45" s="24" t="s">
        <v>38</v>
      </c>
      <c r="D45" s="7"/>
      <c r="E45" s="7"/>
      <c r="F45" s="7" t="s">
        <v>39</v>
      </c>
      <c r="G45" s="7" t="s">
        <v>40</v>
      </c>
      <c r="H45" s="7" t="s">
        <v>41</v>
      </c>
      <c r="I45" s="7" t="s">
        <v>42</v>
      </c>
      <c r="J45" s="7" t="s">
        <v>43</v>
      </c>
      <c r="K45" s="7"/>
      <c r="L45" s="347" t="s">
        <v>44</v>
      </c>
      <c r="M45" s="348"/>
      <c r="N45" s="349"/>
      <c r="O45" s="345" t="s">
        <v>45</v>
      </c>
      <c r="P45" s="346"/>
      <c r="Q45" s="7" t="s">
        <v>46</v>
      </c>
      <c r="R45" s="25" t="s">
        <v>47</v>
      </c>
      <c r="S45" s="7" t="s">
        <v>48</v>
      </c>
      <c r="T45" s="25" t="s">
        <v>49</v>
      </c>
      <c r="U45" s="7" t="s">
        <v>50</v>
      </c>
    </row>
    <row r="46" spans="1:44">
      <c r="C46" s="26" t="s">
        <v>51</v>
      </c>
      <c r="D46" s="8" t="s">
        <v>52</v>
      </c>
      <c r="E46" s="8" t="s">
        <v>53</v>
      </c>
      <c r="F46" s="17" t="s">
        <v>54</v>
      </c>
      <c r="G46" s="17" t="s">
        <v>55</v>
      </c>
      <c r="H46" s="8" t="s">
        <v>56</v>
      </c>
      <c r="I46" s="8" t="s">
        <v>57</v>
      </c>
      <c r="J46" s="8" t="s">
        <v>58</v>
      </c>
      <c r="K46" s="8" t="s">
        <v>59</v>
      </c>
      <c r="L46" s="27" t="s">
        <v>60</v>
      </c>
      <c r="M46" s="27" t="s">
        <v>61</v>
      </c>
      <c r="N46" s="28" t="s">
        <v>62</v>
      </c>
      <c r="O46" s="19" t="s">
        <v>60</v>
      </c>
      <c r="P46" s="19" t="s">
        <v>63</v>
      </c>
      <c r="Q46" s="8" t="s">
        <v>64</v>
      </c>
      <c r="R46" s="29" t="s">
        <v>64</v>
      </c>
      <c r="S46" s="8" t="s">
        <v>65</v>
      </c>
      <c r="T46" s="29" t="s">
        <v>66</v>
      </c>
      <c r="U46" s="8" t="s">
        <v>67</v>
      </c>
    </row>
    <row r="47" spans="1:44">
      <c r="B47" s="6" t="s">
        <v>68</v>
      </c>
      <c r="C47" s="35">
        <f>(C4-AB25)/$N$24</f>
        <v>6.7985257048677828E-5</v>
      </c>
      <c r="D47" s="6" t="s">
        <v>4</v>
      </c>
      <c r="E47" s="18">
        <v>28.013000000000002</v>
      </c>
      <c r="F47" s="18">
        <v>-297.33199999999999</v>
      </c>
      <c r="G47" s="6"/>
      <c r="H47" s="20">
        <v>-346</v>
      </c>
      <c r="I47" s="20">
        <v>493</v>
      </c>
      <c r="J47" s="20">
        <v>-232.7</v>
      </c>
      <c r="K47" s="19">
        <v>0.99997000000000003</v>
      </c>
      <c r="L47" s="30">
        <v>0.80940000000000001</v>
      </c>
      <c r="M47" s="28">
        <f>L47*$M$19</f>
        <v>6.7479677999999996</v>
      </c>
      <c r="N47" s="28">
        <f t="shared" ref="N47:N49" si="11">E47/M47</f>
        <v>4.1513238993226977</v>
      </c>
      <c r="O47" s="19">
        <v>13.547000000000001</v>
      </c>
      <c r="P47" s="19">
        <f>13.102/O47</f>
        <v>0.96715139883369006</v>
      </c>
      <c r="Q47" s="6">
        <v>0.24840000000000001</v>
      </c>
      <c r="R47" s="27"/>
      <c r="S47" s="6"/>
      <c r="T47" s="27"/>
      <c r="U47" s="6"/>
      <c r="AC47" s="2">
        <f t="shared" ref="AC47:AR62" si="12">E47*$C47</f>
        <v>1.9044710057046122E-3</v>
      </c>
      <c r="AD47" s="2">
        <f t="shared" si="12"/>
        <v>-2.0214192448797477E-2</v>
      </c>
      <c r="AE47" s="2">
        <f t="shared" si="12"/>
        <v>0</v>
      </c>
      <c r="AF47" s="2">
        <f t="shared" si="12"/>
        <v>-2.3522898938842528E-2</v>
      </c>
      <c r="AG47" s="2">
        <f t="shared" si="12"/>
        <v>3.3516731724998167E-2</v>
      </c>
      <c r="AH47" s="2">
        <f t="shared" si="12"/>
        <v>-1.5820169315227329E-2</v>
      </c>
      <c r="AI47" s="2">
        <f t="shared" si="12"/>
        <v>6.7983217490966374E-5</v>
      </c>
      <c r="AJ47" s="2">
        <f t="shared" si="12"/>
        <v>5.5027267055199833E-5</v>
      </c>
      <c r="AK47" s="2">
        <f t="shared" si="12"/>
        <v>4.5876232543920102E-4</v>
      </c>
      <c r="AL47" s="2">
        <f t="shared" si="12"/>
        <v>2.8222882238777315E-4</v>
      </c>
      <c r="AM47" s="2">
        <f t="shared" si="12"/>
        <v>9.2099627723843858E-4</v>
      </c>
      <c r="AN47" s="2">
        <f t="shared" si="12"/>
        <v>6.5752036454696754E-5</v>
      </c>
      <c r="AO47" s="2">
        <f t="shared" si="12"/>
        <v>1.6887537850891574E-5</v>
      </c>
      <c r="AP47" s="2">
        <f t="shared" si="12"/>
        <v>0</v>
      </c>
      <c r="AQ47" s="2">
        <f t="shared" si="12"/>
        <v>0</v>
      </c>
      <c r="AR47" s="2">
        <f t="shared" si="12"/>
        <v>0</v>
      </c>
    </row>
    <row r="48" spans="1:44">
      <c r="B48" s="6" t="s">
        <v>69</v>
      </c>
      <c r="C48" s="35">
        <f t="shared" ref="C48:C62" si="13">(C5-AB26)/$N$24</f>
        <v>3.6366158068126451E-3</v>
      </c>
      <c r="D48" s="6" t="s">
        <v>70</v>
      </c>
      <c r="E48" s="18">
        <v>44.01</v>
      </c>
      <c r="F48" s="18">
        <v>-109.32</v>
      </c>
      <c r="G48" s="6"/>
      <c r="H48" s="20">
        <v>-69.77</v>
      </c>
      <c r="I48" s="20">
        <v>1071</v>
      </c>
      <c r="J48" s="20">
        <v>87.87</v>
      </c>
      <c r="K48" s="19">
        <v>0.99429999999999996</v>
      </c>
      <c r="L48" s="30">
        <v>0.81759999999999999</v>
      </c>
      <c r="M48" s="28">
        <f t="shared" ref="M48:M61" si="14">L48*$M$19</f>
        <v>6.8163311999999996</v>
      </c>
      <c r="N48" s="28">
        <f t="shared" si="11"/>
        <v>6.4565524632957976</v>
      </c>
      <c r="O48" s="19">
        <v>8.6229999999999993</v>
      </c>
      <c r="P48" s="19">
        <f t="shared" ref="P48:P49" si="15">13.102/O48</f>
        <v>1.5194247941551666</v>
      </c>
      <c r="Q48" s="6">
        <v>0.19900000000000001</v>
      </c>
      <c r="R48" s="27"/>
      <c r="S48" s="6"/>
      <c r="T48" s="27"/>
      <c r="U48" s="6"/>
      <c r="AC48" s="2">
        <f t="shared" si="12"/>
        <v>0.16004746165782449</v>
      </c>
      <c r="AD48" s="2">
        <f t="shared" si="12"/>
        <v>-0.39755484000075836</v>
      </c>
      <c r="AE48" s="2">
        <f t="shared" si="12"/>
        <v>0</v>
      </c>
      <c r="AF48" s="2">
        <f t="shared" si="12"/>
        <v>-0.25372668484131822</v>
      </c>
      <c r="AG48" s="2">
        <f t="shared" si="12"/>
        <v>3.8948155290963427</v>
      </c>
      <c r="AH48" s="2">
        <f t="shared" si="12"/>
        <v>0.31954943094462712</v>
      </c>
      <c r="AI48" s="2">
        <f t="shared" si="12"/>
        <v>3.6158870967138127E-3</v>
      </c>
      <c r="AJ48" s="2">
        <f t="shared" si="12"/>
        <v>2.9732970836500185E-3</v>
      </c>
      <c r="AK48" s="2">
        <f t="shared" si="12"/>
        <v>2.4788377786390203E-2</v>
      </c>
      <c r="AL48" s="2">
        <f t="shared" si="12"/>
        <v>2.3480000745536619E-2</v>
      </c>
      <c r="AM48" s="2">
        <f t="shared" si="12"/>
        <v>3.1358538102145436E-2</v>
      </c>
      <c r="AN48" s="2">
        <f t="shared" si="12"/>
        <v>5.5255642236877282E-3</v>
      </c>
      <c r="AO48" s="2">
        <f t="shared" si="12"/>
        <v>7.2368654555571646E-4</v>
      </c>
      <c r="AP48" s="2">
        <f t="shared" si="12"/>
        <v>0</v>
      </c>
      <c r="AQ48" s="2">
        <f t="shared" si="12"/>
        <v>0</v>
      </c>
      <c r="AR48" s="2">
        <f t="shared" si="12"/>
        <v>0</v>
      </c>
    </row>
    <row r="49" spans="2:44">
      <c r="B49" s="6" t="s">
        <v>71</v>
      </c>
      <c r="C49" s="35">
        <f t="shared" si="13"/>
        <v>2.6081604219094173E-7</v>
      </c>
      <c r="D49" s="6" t="s">
        <v>2</v>
      </c>
      <c r="E49" s="18">
        <v>34.076000000000001</v>
      </c>
      <c r="F49" s="18">
        <v>-76.56</v>
      </c>
      <c r="G49" s="6">
        <v>387.1</v>
      </c>
      <c r="H49" s="20">
        <v>-121.58</v>
      </c>
      <c r="I49" s="20">
        <v>1036</v>
      </c>
      <c r="J49" s="20">
        <v>212.6</v>
      </c>
      <c r="K49" s="19">
        <v>0.99029999999999996</v>
      </c>
      <c r="L49" s="30">
        <v>0.78710000000000002</v>
      </c>
      <c r="M49" s="28">
        <f t="shared" si="14"/>
        <v>6.5620526999999997</v>
      </c>
      <c r="N49" s="28">
        <f t="shared" si="11"/>
        <v>5.1928872805303747</v>
      </c>
      <c r="O49" s="19">
        <v>11.135999999999999</v>
      </c>
      <c r="P49" s="19">
        <f t="shared" si="15"/>
        <v>1.1765445402298851</v>
      </c>
      <c r="Q49" s="6">
        <v>0.2379</v>
      </c>
      <c r="R49" s="27">
        <v>0.49680000000000002</v>
      </c>
      <c r="S49" s="6">
        <v>637</v>
      </c>
      <c r="T49" s="27"/>
      <c r="U49" s="6"/>
      <c r="AC49" s="2">
        <f t="shared" si="12"/>
        <v>8.8875674536985301E-6</v>
      </c>
      <c r="AD49" s="2">
        <f t="shared" si="12"/>
        <v>-1.9968076190138501E-5</v>
      </c>
      <c r="AE49" s="2">
        <f t="shared" si="12"/>
        <v>1.0096188993211355E-4</v>
      </c>
      <c r="AF49" s="2">
        <f t="shared" si="12"/>
        <v>-3.1710014409574695E-5</v>
      </c>
      <c r="AG49" s="2">
        <f t="shared" si="12"/>
        <v>2.7020541970981565E-4</v>
      </c>
      <c r="AH49" s="2">
        <f t="shared" si="12"/>
        <v>5.5449490569794209E-5</v>
      </c>
      <c r="AI49" s="2">
        <f t="shared" si="12"/>
        <v>2.582861265816896E-7</v>
      </c>
      <c r="AJ49" s="2">
        <f t="shared" si="12"/>
        <v>2.0528830680849025E-7</v>
      </c>
      <c r="AK49" s="2">
        <f t="shared" si="12"/>
        <v>1.711488613862383E-6</v>
      </c>
      <c r="AL49" s="2">
        <f t="shared" si="12"/>
        <v>1.3543883080516148E-6</v>
      </c>
      <c r="AM49" s="2">
        <f t="shared" si="12"/>
        <v>2.9044474458383269E-6</v>
      </c>
      <c r="AN49" s="2">
        <f t="shared" si="12"/>
        <v>3.0686169044411983E-7</v>
      </c>
      <c r="AO49" s="2">
        <f t="shared" si="12"/>
        <v>6.2048136437225045E-8</v>
      </c>
      <c r="AP49" s="2">
        <f t="shared" si="12"/>
        <v>1.2957340976045985E-7</v>
      </c>
      <c r="AQ49" s="2">
        <f t="shared" si="12"/>
        <v>1.6613981887562989E-4</v>
      </c>
      <c r="AR49" s="2">
        <f t="shared" si="12"/>
        <v>0</v>
      </c>
    </row>
    <row r="50" spans="2:44">
      <c r="B50" s="6" t="s">
        <v>72</v>
      </c>
      <c r="C50" s="35">
        <f t="shared" si="13"/>
        <v>1.0697228210450434E-2</v>
      </c>
      <c r="D50" s="6" t="s">
        <v>73</v>
      </c>
      <c r="E50" s="18">
        <v>16.042999999999999</v>
      </c>
      <c r="F50" s="18">
        <v>-258.7</v>
      </c>
      <c r="G50" s="6">
        <v>5000</v>
      </c>
      <c r="H50" s="20">
        <v>-296.5</v>
      </c>
      <c r="I50" s="20">
        <v>667.8</v>
      </c>
      <c r="J50" s="20">
        <v>-116.68</v>
      </c>
      <c r="K50" s="19">
        <v>0.99809999999999999</v>
      </c>
      <c r="L50" s="30">
        <v>0.3</v>
      </c>
      <c r="M50" s="28">
        <f t="shared" si="14"/>
        <v>2.5010999999999997</v>
      </c>
      <c r="N50" s="28">
        <f>E50/M50</f>
        <v>6.4143776738235179</v>
      </c>
      <c r="O50" s="19">
        <v>0.55389999999999995</v>
      </c>
      <c r="P50" s="19">
        <f>13.102/O50</f>
        <v>23.654089185773607</v>
      </c>
      <c r="Q50" s="6">
        <v>0.52659999999999996</v>
      </c>
      <c r="R50" s="27"/>
      <c r="S50" s="6">
        <v>1009.7</v>
      </c>
      <c r="T50" s="27"/>
      <c r="U50" s="6"/>
      <c r="AC50" s="2">
        <f t="shared" si="12"/>
        <v>0.1716156321802563</v>
      </c>
      <c r="AD50" s="2">
        <f t="shared" si="12"/>
        <v>-2.7673729380435272</v>
      </c>
      <c r="AE50" s="2">
        <f t="shared" si="12"/>
        <v>53.486141052252172</v>
      </c>
      <c r="AF50" s="2">
        <f t="shared" si="12"/>
        <v>-3.1717281643985538</v>
      </c>
      <c r="AG50" s="2">
        <f t="shared" si="12"/>
        <v>7.1436089989387996</v>
      </c>
      <c r="AH50" s="2">
        <f t="shared" si="12"/>
        <v>-1.2481525875953567</v>
      </c>
      <c r="AI50" s="2">
        <f t="shared" si="12"/>
        <v>1.0676903476850578E-2</v>
      </c>
      <c r="AJ50" s="2">
        <f t="shared" si="12"/>
        <v>3.2091684631351302E-3</v>
      </c>
      <c r="AK50" s="2">
        <f t="shared" si="12"/>
        <v>2.6754837477157577E-2</v>
      </c>
      <c r="AL50" s="2">
        <f t="shared" si="12"/>
        <v>6.8616061804908368E-2</v>
      </c>
      <c r="AM50" s="2">
        <f t="shared" si="12"/>
        <v>5.9251947057684948E-3</v>
      </c>
      <c r="AN50" s="2">
        <f t="shared" si="12"/>
        <v>0.25303319013056796</v>
      </c>
      <c r="AO50" s="2">
        <f t="shared" si="12"/>
        <v>5.6331603756231982E-3</v>
      </c>
      <c r="AP50" s="2">
        <f t="shared" si="12"/>
        <v>0</v>
      </c>
      <c r="AQ50" s="2">
        <f t="shared" si="12"/>
        <v>10.800991324091804</v>
      </c>
      <c r="AR50" s="2">
        <f t="shared" si="12"/>
        <v>0</v>
      </c>
    </row>
    <row r="51" spans="2:44">
      <c r="B51" s="6" t="s">
        <v>74</v>
      </c>
      <c r="C51" s="35">
        <f t="shared" si="13"/>
        <v>1.057650058930463E-2</v>
      </c>
      <c r="D51" s="6" t="s">
        <v>75</v>
      </c>
      <c r="E51" s="18">
        <v>30.7</v>
      </c>
      <c r="F51" s="18">
        <v>-127.44</v>
      </c>
      <c r="G51" s="6">
        <v>800</v>
      </c>
      <c r="H51" s="20">
        <v>-297.04000000000002</v>
      </c>
      <c r="I51" s="20">
        <v>707.8</v>
      </c>
      <c r="J51" s="20">
        <v>90.1</v>
      </c>
      <c r="K51" s="19">
        <v>0.99609999999999999</v>
      </c>
      <c r="L51" s="30">
        <v>0.35630000000000001</v>
      </c>
      <c r="M51" s="28">
        <f t="shared" si="14"/>
        <v>2.9704731</v>
      </c>
      <c r="N51" s="28">
        <f t="shared" ref="N51:N62" si="16">E51/M51</f>
        <v>10.335054035668595</v>
      </c>
      <c r="O51" s="19">
        <v>1.0382</v>
      </c>
      <c r="P51" s="19">
        <f t="shared" ref="P51:P62" si="17">13.102/O51</f>
        <v>12.619919090733962</v>
      </c>
      <c r="Q51" s="6">
        <v>0.40799999999999997</v>
      </c>
      <c r="R51" s="27">
        <v>0.92559999999999998</v>
      </c>
      <c r="S51" s="6">
        <v>1768</v>
      </c>
      <c r="T51" s="27">
        <v>65889</v>
      </c>
      <c r="U51" s="6">
        <f>N51*C51/0.3795</f>
        <v>0.28803347852106481</v>
      </c>
      <c r="AC51" s="2">
        <f t="shared" si="12"/>
        <v>0.32469856809165215</v>
      </c>
      <c r="AD51" s="2">
        <f t="shared" si="12"/>
        <v>-1.347869235100982</v>
      </c>
      <c r="AE51" s="2">
        <f t="shared" si="12"/>
        <v>8.4612004714437035</v>
      </c>
      <c r="AF51" s="2">
        <f t="shared" si="12"/>
        <v>-3.1416437350470474</v>
      </c>
      <c r="AG51" s="2">
        <f t="shared" si="12"/>
        <v>7.4860471171098171</v>
      </c>
      <c r="AH51" s="2">
        <f t="shared" si="12"/>
        <v>0.9529427030963471</v>
      </c>
      <c r="AI51" s="2">
        <f t="shared" si="12"/>
        <v>1.0535252237006342E-2</v>
      </c>
      <c r="AJ51" s="2">
        <f t="shared" si="12"/>
        <v>3.7684071599692398E-3</v>
      </c>
      <c r="AK51" s="2">
        <f t="shared" si="12"/>
        <v>3.141721049266355E-2</v>
      </c>
      <c r="AL51" s="2">
        <f t="shared" si="12"/>
        <v>0.10930870509874409</v>
      </c>
      <c r="AM51" s="2">
        <f t="shared" si="12"/>
        <v>1.0980522911816067E-2</v>
      </c>
      <c r="AN51" s="2">
        <f t="shared" si="12"/>
        <v>0.13347458170012449</v>
      </c>
      <c r="AO51" s="2">
        <f t="shared" si="12"/>
        <v>4.3152122404362886E-3</v>
      </c>
      <c r="AP51" s="2">
        <f t="shared" si="12"/>
        <v>9.7896089454603662E-3</v>
      </c>
      <c r="AQ51" s="2">
        <f t="shared" si="12"/>
        <v>18.699253041890586</v>
      </c>
      <c r="AR51" s="2">
        <f t="shared" si="12"/>
        <v>696.87504732869274</v>
      </c>
    </row>
    <row r="52" spans="2:44">
      <c r="B52" s="6" t="s">
        <v>76</v>
      </c>
      <c r="C52" s="35">
        <f t="shared" si="13"/>
        <v>2.1046885827424953E-2</v>
      </c>
      <c r="D52" s="6" t="s">
        <v>77</v>
      </c>
      <c r="E52" s="18">
        <v>44.097000000000001</v>
      </c>
      <c r="F52" s="18">
        <v>-43.73</v>
      </c>
      <c r="G52" s="6">
        <v>188</v>
      </c>
      <c r="H52" s="20">
        <v>-305.82</v>
      </c>
      <c r="I52" s="20">
        <v>616.29999999999995</v>
      </c>
      <c r="J52" s="20">
        <v>206.1</v>
      </c>
      <c r="K52" s="19">
        <v>0.98080000000000001</v>
      </c>
      <c r="L52" s="30">
        <v>0.50749999999999995</v>
      </c>
      <c r="M52" s="28">
        <f t="shared" si="14"/>
        <v>4.2310274999999997</v>
      </c>
      <c r="N52" s="28">
        <f t="shared" si="16"/>
        <v>10.422291039233379</v>
      </c>
      <c r="O52" s="19">
        <v>1.5225</v>
      </c>
      <c r="P52" s="19">
        <f t="shared" si="17"/>
        <v>8.6055829228243024</v>
      </c>
      <c r="Q52" s="6">
        <v>0.38869999999999999</v>
      </c>
      <c r="R52" s="27">
        <v>0.59019999999999995</v>
      </c>
      <c r="S52" s="6">
        <v>2517</v>
      </c>
      <c r="T52" s="27">
        <v>90962</v>
      </c>
      <c r="U52" s="6">
        <f t="shared" ref="U52:U61" si="18">N52*C52/0.3795</f>
        <v>0.57801520306439813</v>
      </c>
      <c r="AC52" s="2">
        <f t="shared" si="12"/>
        <v>0.92810452433195811</v>
      </c>
      <c r="AD52" s="2">
        <f t="shared" si="12"/>
        <v>-0.92038031723329317</v>
      </c>
      <c r="AE52" s="2">
        <f t="shared" si="12"/>
        <v>3.9568145355558912</v>
      </c>
      <c r="AF52" s="2">
        <f t="shared" si="12"/>
        <v>-6.4365586237430987</v>
      </c>
      <c r="AG52" s="2">
        <f t="shared" si="12"/>
        <v>12.971195735441997</v>
      </c>
      <c r="AH52" s="2">
        <f t="shared" si="12"/>
        <v>4.3377631690322822</v>
      </c>
      <c r="AI52" s="2">
        <f t="shared" si="12"/>
        <v>2.0642785619538393E-2</v>
      </c>
      <c r="AJ52" s="2">
        <f t="shared" si="12"/>
        <v>1.0681294557418163E-2</v>
      </c>
      <c r="AK52" s="2">
        <f t="shared" si="12"/>
        <v>8.9049952725195225E-2</v>
      </c>
      <c r="AL52" s="2">
        <f t="shared" si="12"/>
        <v>0.21935676956293909</v>
      </c>
      <c r="AM52" s="2">
        <f t="shared" si="12"/>
        <v>3.204388367225449E-2</v>
      </c>
      <c r="AN52" s="2">
        <f t="shared" si="12"/>
        <v>0.18112072125512102</v>
      </c>
      <c r="AO52" s="2">
        <f t="shared" si="12"/>
        <v>8.1809245211200785E-3</v>
      </c>
      <c r="AP52" s="2">
        <f t="shared" si="12"/>
        <v>1.2421872015346206E-2</v>
      </c>
      <c r="AQ52" s="2">
        <f t="shared" si="12"/>
        <v>52.975011627628604</v>
      </c>
      <c r="AR52" s="2">
        <f t="shared" si="12"/>
        <v>1914.4668286342285</v>
      </c>
    </row>
    <row r="53" spans="2:44">
      <c r="B53" s="6" t="s">
        <v>78</v>
      </c>
      <c r="C53" s="35">
        <f t="shared" si="13"/>
        <v>7.3686696657243728E-3</v>
      </c>
      <c r="D53" s="6" t="s">
        <v>79</v>
      </c>
      <c r="E53" s="18">
        <v>58.124000000000002</v>
      </c>
      <c r="F53" s="18">
        <v>10.74</v>
      </c>
      <c r="G53" s="6">
        <v>72.39</v>
      </c>
      <c r="H53" s="20">
        <v>-255.28</v>
      </c>
      <c r="I53" s="20">
        <v>529.1</v>
      </c>
      <c r="J53" s="20">
        <v>274.95999999999998</v>
      </c>
      <c r="K53" s="19">
        <v>0.96609999999999996</v>
      </c>
      <c r="L53" s="30">
        <v>0.56299999999999994</v>
      </c>
      <c r="M53" s="28">
        <f t="shared" si="14"/>
        <v>4.6937309999999997</v>
      </c>
      <c r="N53" s="28">
        <f t="shared" si="16"/>
        <v>12.383325759401211</v>
      </c>
      <c r="O53" s="19">
        <v>2.0068000000000001</v>
      </c>
      <c r="P53" s="19">
        <f t="shared" si="17"/>
        <v>6.5288020729519634</v>
      </c>
      <c r="Q53" s="6">
        <v>0.38669999999999999</v>
      </c>
      <c r="R53" s="27">
        <v>0.56599999999999995</v>
      </c>
      <c r="S53" s="6">
        <v>3252</v>
      </c>
      <c r="T53" s="27">
        <v>98968</v>
      </c>
      <c r="U53" s="6">
        <f t="shared" si="18"/>
        <v>0.24044436596596294</v>
      </c>
      <c r="AC53" s="2">
        <f t="shared" si="12"/>
        <v>0.42829655565056346</v>
      </c>
      <c r="AD53" s="2">
        <f t="shared" si="12"/>
        <v>7.9139512209879762E-2</v>
      </c>
      <c r="AE53" s="2">
        <f t="shared" si="12"/>
        <v>0.53341799710178739</v>
      </c>
      <c r="AF53" s="2">
        <f t="shared" si="12"/>
        <v>-1.8810739922661179</v>
      </c>
      <c r="AG53" s="2">
        <f t="shared" si="12"/>
        <v>3.8987631201347659</v>
      </c>
      <c r="AH53" s="2">
        <f t="shared" si="12"/>
        <v>2.0260894112875736</v>
      </c>
      <c r="AI53" s="2">
        <f t="shared" si="12"/>
        <v>7.1188717640563162E-3</v>
      </c>
      <c r="AJ53" s="2">
        <f t="shared" si="12"/>
        <v>4.1485610218028211E-3</v>
      </c>
      <c r="AK53" s="2">
        <f t="shared" si="12"/>
        <v>3.4586553238770121E-2</v>
      </c>
      <c r="AL53" s="2">
        <f t="shared" si="12"/>
        <v>9.124863688408294E-2</v>
      </c>
      <c r="AM53" s="2">
        <f t="shared" si="12"/>
        <v>1.4787446285175672E-2</v>
      </c>
      <c r="AN53" s="2">
        <f t="shared" si="12"/>
        <v>4.8108585788479534E-2</v>
      </c>
      <c r="AO53" s="2">
        <f t="shared" si="12"/>
        <v>2.849464559735615E-3</v>
      </c>
      <c r="AP53" s="2">
        <f t="shared" si="12"/>
        <v>4.1706670307999948E-3</v>
      </c>
      <c r="AQ53" s="2">
        <f t="shared" si="12"/>
        <v>23.962913752935659</v>
      </c>
      <c r="AR53" s="2">
        <f t="shared" si="12"/>
        <v>729.26249947740973</v>
      </c>
    </row>
    <row r="54" spans="2:44">
      <c r="B54" s="6" t="s">
        <v>80</v>
      </c>
      <c r="C54" s="35">
        <f t="shared" si="13"/>
        <v>2.2975902433236023E-2</v>
      </c>
      <c r="D54" s="6" t="s">
        <v>79</v>
      </c>
      <c r="E54" s="18">
        <v>58.124000000000002</v>
      </c>
      <c r="F54" s="18">
        <v>31.12</v>
      </c>
      <c r="G54" s="6">
        <v>51.54</v>
      </c>
      <c r="H54" s="20">
        <v>-217.05</v>
      </c>
      <c r="I54" s="20">
        <v>550.70000000000005</v>
      </c>
      <c r="J54" s="20">
        <v>305.62</v>
      </c>
      <c r="K54" s="19">
        <v>0.93669999999999998</v>
      </c>
      <c r="L54" s="30">
        <v>0.58430000000000004</v>
      </c>
      <c r="M54" s="28">
        <f t="shared" si="14"/>
        <v>4.8713091000000004</v>
      </c>
      <c r="N54" s="28">
        <f t="shared" si="16"/>
        <v>11.931905532334213</v>
      </c>
      <c r="O54" s="19">
        <v>2.0068000000000001</v>
      </c>
      <c r="P54" s="19">
        <f t="shared" si="17"/>
        <v>6.5288020729519634</v>
      </c>
      <c r="Q54" s="6">
        <v>0.39510000000000001</v>
      </c>
      <c r="R54" s="27">
        <v>0.56599999999999995</v>
      </c>
      <c r="S54" s="6">
        <v>3262</v>
      </c>
      <c r="T54" s="27">
        <v>102918</v>
      </c>
      <c r="U54" s="6">
        <f t="shared" si="18"/>
        <v>0.7223881353188405</v>
      </c>
      <c r="AC54" s="2">
        <f t="shared" si="12"/>
        <v>1.3354513530294105</v>
      </c>
      <c r="AD54" s="2">
        <f t="shared" si="12"/>
        <v>0.71501008372230501</v>
      </c>
      <c r="AE54" s="2">
        <f t="shared" si="12"/>
        <v>1.1841780114089846</v>
      </c>
      <c r="AF54" s="2">
        <f t="shared" si="12"/>
        <v>-4.986919623133879</v>
      </c>
      <c r="AG54" s="2">
        <f t="shared" si="12"/>
        <v>12.652829469983079</v>
      </c>
      <c r="AH54" s="2">
        <f t="shared" si="12"/>
        <v>7.0218953016455936</v>
      </c>
      <c r="AI54" s="2">
        <f t="shared" si="12"/>
        <v>2.1521527809212182E-2</v>
      </c>
      <c r="AJ54" s="2">
        <f t="shared" si="12"/>
        <v>1.3424819791739808E-2</v>
      </c>
      <c r="AK54" s="2">
        <f t="shared" si="12"/>
        <v>0.11192272260373479</v>
      </c>
      <c r="AL54" s="2">
        <f t="shared" si="12"/>
        <v>0.27414629735349999</v>
      </c>
      <c r="AM54" s="2">
        <f t="shared" si="12"/>
        <v>4.6108041003018053E-2</v>
      </c>
      <c r="AN54" s="2">
        <f t="shared" si="12"/>
        <v>0.1500051194340534</v>
      </c>
      <c r="AO54" s="2">
        <f t="shared" si="12"/>
        <v>9.0777790513715522E-3</v>
      </c>
      <c r="AP54" s="2">
        <f t="shared" si="12"/>
        <v>1.3004360777211588E-2</v>
      </c>
      <c r="AQ54" s="2">
        <f t="shared" si="12"/>
        <v>74.947393737215904</v>
      </c>
      <c r="AR54" s="2">
        <f t="shared" si="12"/>
        <v>2364.6339266237851</v>
      </c>
    </row>
    <row r="55" spans="2:44">
      <c r="B55" s="6" t="s">
        <v>81</v>
      </c>
      <c r="C55" s="35">
        <f t="shared" si="13"/>
        <v>1.3223090904947917E-2</v>
      </c>
      <c r="D55" s="6" t="s">
        <v>82</v>
      </c>
      <c r="E55" s="18">
        <v>72.150999999999996</v>
      </c>
      <c r="F55" s="18">
        <v>82.11</v>
      </c>
      <c r="G55" s="6">
        <v>20.443999999999999</v>
      </c>
      <c r="H55" s="20">
        <v>-255.82</v>
      </c>
      <c r="I55" s="20">
        <v>490.4</v>
      </c>
      <c r="J55" s="20">
        <v>369.03</v>
      </c>
      <c r="K55" s="19">
        <v>0.94799999999999995</v>
      </c>
      <c r="L55" s="30">
        <v>0.62439999999999996</v>
      </c>
      <c r="M55" s="28">
        <f t="shared" si="14"/>
        <v>5.2056227999999996</v>
      </c>
      <c r="N55" s="28">
        <f t="shared" si="16"/>
        <v>13.860205161234502</v>
      </c>
      <c r="O55" s="19">
        <v>2.4910999999999999</v>
      </c>
      <c r="P55" s="19">
        <f t="shared" si="17"/>
        <v>5.2595239051021645</v>
      </c>
      <c r="Q55" s="6">
        <v>0.38290000000000002</v>
      </c>
      <c r="R55" s="27">
        <v>0.5353</v>
      </c>
      <c r="S55" s="6">
        <v>4000</v>
      </c>
      <c r="T55" s="27">
        <v>108722</v>
      </c>
      <c r="U55" s="6">
        <f t="shared" si="18"/>
        <v>0.48293742505463005</v>
      </c>
      <c r="AC55" s="2">
        <f t="shared" si="12"/>
        <v>0.9540592318828971</v>
      </c>
      <c r="AD55" s="2">
        <f t="shared" si="12"/>
        <v>1.0857479942052735</v>
      </c>
      <c r="AE55" s="2">
        <f t="shared" si="12"/>
        <v>0.27033287046075521</v>
      </c>
      <c r="AF55" s="2">
        <f t="shared" si="12"/>
        <v>-3.382731115303776</v>
      </c>
      <c r="AG55" s="2">
        <f t="shared" si="12"/>
        <v>6.4846037797864584</v>
      </c>
      <c r="AH55" s="2">
        <f t="shared" si="12"/>
        <v>4.8797172366529296</v>
      </c>
      <c r="AI55" s="2">
        <f t="shared" si="12"/>
        <v>1.2535490177890624E-2</v>
      </c>
      <c r="AJ55" s="2">
        <f t="shared" si="12"/>
        <v>8.2564979610494794E-3</v>
      </c>
      <c r="AK55" s="2">
        <f t="shared" si="12"/>
        <v>6.8834423501269504E-2</v>
      </c>
      <c r="AL55" s="2">
        <f t="shared" si="12"/>
        <v>0.18327475280823211</v>
      </c>
      <c r="AM55" s="2">
        <f t="shared" si="12"/>
        <v>3.2940041753315753E-2</v>
      </c>
      <c r="AN55" s="2">
        <f t="shared" si="12"/>
        <v>6.9547162713912578E-2</v>
      </c>
      <c r="AO55" s="2">
        <f t="shared" si="12"/>
        <v>5.0631215075045578E-3</v>
      </c>
      <c r="AP55" s="2">
        <f t="shared" si="12"/>
        <v>7.0783205614186199E-3</v>
      </c>
      <c r="AQ55" s="2">
        <f t="shared" si="12"/>
        <v>52.892363619791666</v>
      </c>
      <c r="AR55" s="2">
        <f t="shared" si="12"/>
        <v>1437.6408893677474</v>
      </c>
    </row>
    <row r="56" spans="2:44">
      <c r="B56" s="6" t="s">
        <v>83</v>
      </c>
      <c r="C56" s="35">
        <f t="shared" si="13"/>
        <v>1.8467925098031895E-2</v>
      </c>
      <c r="D56" s="6" t="s">
        <v>82</v>
      </c>
      <c r="E56" s="18">
        <v>72.150999999999996</v>
      </c>
      <c r="F56" s="18">
        <v>96.91</v>
      </c>
      <c r="G56" s="6">
        <v>15.574999999999999</v>
      </c>
      <c r="H56" s="20">
        <v>-201.51</v>
      </c>
      <c r="I56" s="20">
        <v>488.6</v>
      </c>
      <c r="J56" s="20">
        <v>385.6</v>
      </c>
      <c r="K56" s="19">
        <v>0.94199999999999995</v>
      </c>
      <c r="L56" s="30">
        <v>0.63109999999999999</v>
      </c>
      <c r="M56" s="28">
        <f t="shared" si="14"/>
        <v>5.2614806999999999</v>
      </c>
      <c r="N56" s="28">
        <f t="shared" si="16"/>
        <v>13.713059899659044</v>
      </c>
      <c r="O56" s="19">
        <v>2.4910999999999999</v>
      </c>
      <c r="P56" s="19">
        <f t="shared" si="17"/>
        <v>5.2595239051021645</v>
      </c>
      <c r="Q56" s="6">
        <v>0.39900000000000002</v>
      </c>
      <c r="R56" s="27">
        <v>0.54800000000000004</v>
      </c>
      <c r="S56" s="6">
        <v>4008</v>
      </c>
      <c r="T56" s="27">
        <v>110071</v>
      </c>
      <c r="U56" s="6">
        <f t="shared" si="18"/>
        <v>0.6673300740229986</v>
      </c>
      <c r="AC56" s="2">
        <f t="shared" si="12"/>
        <v>1.3324792637480991</v>
      </c>
      <c r="AD56" s="2">
        <f t="shared" si="12"/>
        <v>1.7897266212502709</v>
      </c>
      <c r="AE56" s="2">
        <f t="shared" si="12"/>
        <v>0.28763793340184673</v>
      </c>
      <c r="AF56" s="2">
        <f t="shared" si="12"/>
        <v>-3.721471586504407</v>
      </c>
      <c r="AG56" s="2">
        <f t="shared" si="12"/>
        <v>9.0234282028983834</v>
      </c>
      <c r="AH56" s="2">
        <f t="shared" si="12"/>
        <v>7.121231917801099</v>
      </c>
      <c r="AI56" s="2">
        <f t="shared" si="12"/>
        <v>1.7396785442346043E-2</v>
      </c>
      <c r="AJ56" s="2">
        <f t="shared" si="12"/>
        <v>1.1655107529367929E-2</v>
      </c>
      <c r="AK56" s="2">
        <f t="shared" si="12"/>
        <v>9.7168631472340422E-2</v>
      </c>
      <c r="AL56" s="2">
        <f t="shared" si="12"/>
        <v>0.25325176309172798</v>
      </c>
      <c r="AM56" s="2">
        <f t="shared" si="12"/>
        <v>4.6005448211707253E-2</v>
      </c>
      <c r="AN56" s="2">
        <f t="shared" si="12"/>
        <v>9.7132493530734984E-2</v>
      </c>
      <c r="AO56" s="2">
        <f t="shared" si="12"/>
        <v>7.3687021141147268E-3</v>
      </c>
      <c r="AP56" s="2">
        <f t="shared" si="12"/>
        <v>1.0120422953721479E-2</v>
      </c>
      <c r="AQ56" s="2">
        <f t="shared" si="12"/>
        <v>74.019443792911829</v>
      </c>
      <c r="AR56" s="2">
        <f t="shared" si="12"/>
        <v>2032.7829834654688</v>
      </c>
    </row>
    <row r="57" spans="2:44">
      <c r="B57" s="6" t="s">
        <v>84</v>
      </c>
      <c r="C57" s="35">
        <f t="shared" si="13"/>
        <v>5.9125009888605411E-2</v>
      </c>
      <c r="D57" s="6" t="s">
        <v>85</v>
      </c>
      <c r="E57" s="18">
        <v>86.177999999999997</v>
      </c>
      <c r="F57" s="18">
        <v>155.72999999999999</v>
      </c>
      <c r="G57" s="6">
        <v>4.96</v>
      </c>
      <c r="H57" s="20">
        <v>-139.58000000000001</v>
      </c>
      <c r="I57" s="20">
        <v>710.4</v>
      </c>
      <c r="J57" s="20">
        <v>453.6</v>
      </c>
      <c r="K57" s="19">
        <v>0.91</v>
      </c>
      <c r="L57" s="30">
        <v>0.66400000000000003</v>
      </c>
      <c r="M57" s="28">
        <f t="shared" si="14"/>
        <v>5.535768</v>
      </c>
      <c r="N57" s="28">
        <f t="shared" si="16"/>
        <v>15.567487654829465</v>
      </c>
      <c r="O57" s="19">
        <v>2.9752999999999998</v>
      </c>
      <c r="P57" s="19">
        <f t="shared" si="17"/>
        <v>4.4035895539945553</v>
      </c>
      <c r="Q57" s="6">
        <v>0.38569999999999999</v>
      </c>
      <c r="R57" s="27">
        <v>0.53320000000000001</v>
      </c>
      <c r="S57" s="6">
        <v>4756</v>
      </c>
      <c r="T57" s="27">
        <v>115055</v>
      </c>
      <c r="U57" s="6">
        <f t="shared" si="18"/>
        <v>2.4253698591107633</v>
      </c>
      <c r="AC57" s="2">
        <f t="shared" si="12"/>
        <v>5.0952751021802367</v>
      </c>
      <c r="AD57" s="2">
        <f t="shared" si="12"/>
        <v>9.2075377899525197</v>
      </c>
      <c r="AE57" s="2">
        <f t="shared" si="12"/>
        <v>0.29326004904748282</v>
      </c>
      <c r="AF57" s="2">
        <f t="shared" si="12"/>
        <v>-8.2526688802515444</v>
      </c>
      <c r="AG57" s="2">
        <f t="shared" si="12"/>
        <v>42.002407024865285</v>
      </c>
      <c r="AH57" s="2">
        <f t="shared" si="12"/>
        <v>26.819104485471417</v>
      </c>
      <c r="AI57" s="2">
        <f t="shared" si="12"/>
        <v>5.3803758998630928E-2</v>
      </c>
      <c r="AJ57" s="2">
        <f t="shared" si="12"/>
        <v>3.9259006566033997E-2</v>
      </c>
      <c r="AK57" s="2">
        <f t="shared" si="12"/>
        <v>0.32730233774102541</v>
      </c>
      <c r="AL57" s="2">
        <f t="shared" si="12"/>
        <v>0.92042786153253475</v>
      </c>
      <c r="AM57" s="2">
        <f t="shared" si="12"/>
        <v>0.17591464192156767</v>
      </c>
      <c r="AN57" s="2">
        <f t="shared" si="12"/>
        <v>0.2603622759252876</v>
      </c>
      <c r="AO57" s="2">
        <f t="shared" si="12"/>
        <v>2.2804516314035107E-2</v>
      </c>
      <c r="AP57" s="2">
        <f t="shared" si="12"/>
        <v>3.1525455272604405E-2</v>
      </c>
      <c r="AQ57" s="2">
        <f t="shared" si="12"/>
        <v>281.19854703020735</v>
      </c>
      <c r="AR57" s="2">
        <f t="shared" si="12"/>
        <v>6802.6280127334958</v>
      </c>
    </row>
    <row r="58" spans="2:44">
      <c r="B58" s="6" t="s">
        <v>86</v>
      </c>
      <c r="C58" s="35">
        <f t="shared" si="13"/>
        <v>1.7739001651467391E-2</v>
      </c>
      <c r="D58" s="6" t="s">
        <v>87</v>
      </c>
      <c r="E58" s="18">
        <v>78.114000000000004</v>
      </c>
      <c r="F58" s="18">
        <v>176.16</v>
      </c>
      <c r="G58" s="6">
        <v>3.2250000000000001</v>
      </c>
      <c r="H58" s="20">
        <v>41.96</v>
      </c>
      <c r="I58" s="20">
        <v>710.4</v>
      </c>
      <c r="J58" s="20">
        <v>552.22</v>
      </c>
      <c r="K58" s="19">
        <v>0.92900000000000005</v>
      </c>
      <c r="L58" s="30">
        <v>0.88449999999999995</v>
      </c>
      <c r="M58" s="28">
        <f t="shared" si="14"/>
        <v>7.3740764999999993</v>
      </c>
      <c r="N58" s="28">
        <f t="shared" si="16"/>
        <v>10.593055279532292</v>
      </c>
      <c r="O58" s="19">
        <v>2.6968999999999999</v>
      </c>
      <c r="P58" s="19">
        <f t="shared" si="17"/>
        <v>4.8581704920464244</v>
      </c>
      <c r="Q58" s="6">
        <v>0.2422</v>
      </c>
      <c r="R58" s="27">
        <v>0.4098</v>
      </c>
      <c r="S58" s="6">
        <v>3741</v>
      </c>
      <c r="T58" s="27">
        <v>132651</v>
      </c>
      <c r="U58" s="6">
        <f t="shared" si="18"/>
        <v>0.49515210829435752</v>
      </c>
      <c r="AC58" s="2">
        <f t="shared" si="12"/>
        <v>1.3856643750027238</v>
      </c>
      <c r="AD58" s="2">
        <f t="shared" si="12"/>
        <v>3.1249025309224954</v>
      </c>
      <c r="AE58" s="2">
        <f t="shared" si="12"/>
        <v>5.7208280325982339E-2</v>
      </c>
      <c r="AF58" s="2">
        <f t="shared" si="12"/>
        <v>0.74432850929557171</v>
      </c>
      <c r="AG58" s="2">
        <f t="shared" si="12"/>
        <v>12.601786773202434</v>
      </c>
      <c r="AH58" s="2">
        <f t="shared" si="12"/>
        <v>9.795831491973324</v>
      </c>
      <c r="AI58" s="2">
        <f t="shared" si="12"/>
        <v>1.6479532534213207E-2</v>
      </c>
      <c r="AJ58" s="2">
        <f t="shared" si="12"/>
        <v>1.5690146960722906E-2</v>
      </c>
      <c r="AK58" s="2">
        <f t="shared" si="12"/>
        <v>0.13080875521154686</v>
      </c>
      <c r="AL58" s="2">
        <f t="shared" si="12"/>
        <v>0.18791022509770869</v>
      </c>
      <c r="AM58" s="2">
        <f t="shared" si="12"/>
        <v>4.7840313553842405E-2</v>
      </c>
      <c r="AN58" s="2">
        <f t="shared" si="12"/>
        <v>8.6179094381521673E-2</v>
      </c>
      <c r="AO58" s="2">
        <f t="shared" si="12"/>
        <v>4.2963861999854025E-3</v>
      </c>
      <c r="AP58" s="2">
        <f t="shared" si="12"/>
        <v>7.269442876771337E-3</v>
      </c>
      <c r="AQ58" s="2">
        <f t="shared" si="12"/>
        <v>66.361605178139513</v>
      </c>
      <c r="AR58" s="2">
        <f t="shared" si="12"/>
        <v>2353.0963080688011</v>
      </c>
    </row>
    <row r="59" spans="2:44">
      <c r="B59" s="6" t="s">
        <v>88</v>
      </c>
      <c r="C59" s="35">
        <f t="shared" si="13"/>
        <v>4.4347504128668478E-3</v>
      </c>
      <c r="D59" s="6" t="s">
        <v>89</v>
      </c>
      <c r="E59" s="18">
        <v>92.141000000000005</v>
      </c>
      <c r="F59" s="18">
        <v>231.13</v>
      </c>
      <c r="G59" s="6">
        <v>1.0029999999999999</v>
      </c>
      <c r="H59" s="20">
        <v>-138.97999999999999</v>
      </c>
      <c r="I59" s="20">
        <v>595.5</v>
      </c>
      <c r="J59" s="20">
        <v>605.57000000000005</v>
      </c>
      <c r="K59" s="19">
        <v>0.90300000000000002</v>
      </c>
      <c r="L59" s="30">
        <v>0.87190000000000001</v>
      </c>
      <c r="M59" s="28">
        <f t="shared" si="14"/>
        <v>7.2690302999999998</v>
      </c>
      <c r="N59" s="28">
        <f t="shared" si="16"/>
        <v>12.675831052733404</v>
      </c>
      <c r="O59" s="19">
        <v>3.1812</v>
      </c>
      <c r="P59" s="19">
        <f t="shared" si="17"/>
        <v>4.118571608198164</v>
      </c>
      <c r="Q59" s="6">
        <v>0.25979999999999998</v>
      </c>
      <c r="R59" s="27">
        <v>0.40089999999999998</v>
      </c>
      <c r="S59" s="6">
        <v>4475</v>
      </c>
      <c r="T59" s="27">
        <v>132659</v>
      </c>
      <c r="U59" s="6">
        <f t="shared" si="18"/>
        <v>0.14812686955082971</v>
      </c>
      <c r="AC59" s="2">
        <f t="shared" si="12"/>
        <v>0.40862233779196427</v>
      </c>
      <c r="AD59" s="2">
        <f t="shared" si="12"/>
        <v>1.0250038629259146</v>
      </c>
      <c r="AE59" s="2">
        <f t="shared" si="12"/>
        <v>4.4480546641054476E-3</v>
      </c>
      <c r="AF59" s="2">
        <f t="shared" si="12"/>
        <v>-0.61634161238023444</v>
      </c>
      <c r="AG59" s="2">
        <f t="shared" si="12"/>
        <v>2.6408938708622078</v>
      </c>
      <c r="AH59" s="2">
        <f t="shared" si="12"/>
        <v>2.6855518075197771</v>
      </c>
      <c r="AI59" s="2">
        <f t="shared" si="12"/>
        <v>4.0045796228187639E-3</v>
      </c>
      <c r="AJ59" s="2">
        <f t="shared" si="12"/>
        <v>3.8666588849786045E-3</v>
      </c>
      <c r="AK59" s="2">
        <f t="shared" si="12"/>
        <v>3.2236335124066623E-2</v>
      </c>
      <c r="AL59" s="2">
        <f t="shared" si="12"/>
        <v>5.6214146994539874E-2</v>
      </c>
      <c r="AM59" s="2">
        <f t="shared" si="12"/>
        <v>1.4107828013412016E-2</v>
      </c>
      <c r="AN59" s="2">
        <f t="shared" si="12"/>
        <v>1.8264837139878486E-2</v>
      </c>
      <c r="AO59" s="2">
        <f t="shared" si="12"/>
        <v>1.1521481572628069E-3</v>
      </c>
      <c r="AP59" s="2">
        <f t="shared" si="12"/>
        <v>1.7778914405183193E-3</v>
      </c>
      <c r="AQ59" s="2">
        <f t="shared" si="12"/>
        <v>19.845508097579145</v>
      </c>
      <c r="AR59" s="2">
        <f t="shared" si="12"/>
        <v>588.30955502050313</v>
      </c>
    </row>
    <row r="60" spans="2:44">
      <c r="B60" s="6" t="s">
        <v>90</v>
      </c>
      <c r="C60" s="35">
        <f t="shared" si="13"/>
        <v>4.4347504128668478E-3</v>
      </c>
      <c r="D60" s="6" t="s">
        <v>91</v>
      </c>
      <c r="E60" s="18">
        <v>106.16800000000001</v>
      </c>
      <c r="F60" s="18">
        <v>277.16000000000003</v>
      </c>
      <c r="G60" s="6">
        <v>0.37159999999999999</v>
      </c>
      <c r="H60" s="20">
        <v>-138.96</v>
      </c>
      <c r="I60" s="20">
        <v>523.4</v>
      </c>
      <c r="J60" s="20">
        <v>651.29</v>
      </c>
      <c r="K60" s="19"/>
      <c r="L60" s="30">
        <v>0.87170000000000003</v>
      </c>
      <c r="M60" s="28">
        <f t="shared" si="14"/>
        <v>7.2673629000000002</v>
      </c>
      <c r="N60" s="28">
        <f t="shared" si="16"/>
        <v>14.608875524848223</v>
      </c>
      <c r="O60" s="19">
        <v>3.6655000000000002</v>
      </c>
      <c r="P60" s="19">
        <f t="shared" si="17"/>
        <v>3.5744100395580412</v>
      </c>
      <c r="Q60" s="6">
        <v>0.27950000000000003</v>
      </c>
      <c r="R60" s="27">
        <v>0.4113</v>
      </c>
      <c r="S60" s="6">
        <v>5222</v>
      </c>
      <c r="T60" s="27">
        <v>134381</v>
      </c>
      <c r="U60" s="6">
        <f t="shared" si="18"/>
        <v>0.17071598620643227</v>
      </c>
      <c r="AC60" s="2">
        <f t="shared" si="12"/>
        <v>0.47082858183324755</v>
      </c>
      <c r="AD60" s="2">
        <f t="shared" si="12"/>
        <v>1.2291354244301755</v>
      </c>
      <c r="AE60" s="2">
        <f t="shared" si="12"/>
        <v>1.6479532534213206E-3</v>
      </c>
      <c r="AF60" s="2">
        <f t="shared" si="12"/>
        <v>-0.61625291737197718</v>
      </c>
      <c r="AG60" s="2">
        <f t="shared" si="12"/>
        <v>2.321148366094508</v>
      </c>
      <c r="AH60" s="2">
        <f t="shared" si="12"/>
        <v>2.8883085963960493</v>
      </c>
      <c r="AI60" s="2">
        <f t="shared" si="12"/>
        <v>0</v>
      </c>
      <c r="AJ60" s="2">
        <f t="shared" si="12"/>
        <v>3.8657719348960313E-3</v>
      </c>
      <c r="AK60" s="2">
        <f t="shared" si="12"/>
        <v>3.2228940621228212E-2</v>
      </c>
      <c r="AL60" s="2">
        <f t="shared" si="12"/>
        <v>6.4786716765341049E-2</v>
      </c>
      <c r="AM60" s="2">
        <f t="shared" si="12"/>
        <v>1.6255577638363432E-2</v>
      </c>
      <c r="AN60" s="2">
        <f t="shared" si="12"/>
        <v>1.5851616398685427E-2</v>
      </c>
      <c r="AO60" s="2">
        <f t="shared" si="12"/>
        <v>1.2395127403962841E-3</v>
      </c>
      <c r="AP60" s="2">
        <f t="shared" si="12"/>
        <v>1.8240128448121346E-3</v>
      </c>
      <c r="AQ60" s="2">
        <f t="shared" si="12"/>
        <v>23.15826665599068</v>
      </c>
      <c r="AR60" s="2">
        <f t="shared" si="12"/>
        <v>595.94619523145991</v>
      </c>
    </row>
    <row r="61" spans="2:44">
      <c r="B61" s="6" t="s">
        <v>92</v>
      </c>
      <c r="C61" s="35">
        <f t="shared" si="13"/>
        <v>4.4347504128668478E-3</v>
      </c>
      <c r="D61" s="6" t="s">
        <v>93</v>
      </c>
      <c r="E61" s="18">
        <v>106.16800000000001</v>
      </c>
      <c r="F61" s="18">
        <v>291.97000000000003</v>
      </c>
      <c r="G61" s="6">
        <v>0.26429999999999998</v>
      </c>
      <c r="H61" s="20">
        <v>-13.32</v>
      </c>
      <c r="I61" s="20">
        <v>541.6</v>
      </c>
      <c r="J61" s="20">
        <v>674.92</v>
      </c>
      <c r="K61" s="19"/>
      <c r="L61" s="30">
        <v>0.88470000000000004</v>
      </c>
      <c r="M61" s="28">
        <f t="shared" si="14"/>
        <v>7.3757438999999998</v>
      </c>
      <c r="N61" s="28">
        <f t="shared" si="16"/>
        <v>14.394209104792807</v>
      </c>
      <c r="O61" s="19">
        <v>3.6655000000000002</v>
      </c>
      <c r="P61" s="19">
        <f t="shared" si="17"/>
        <v>3.5744100395580412</v>
      </c>
      <c r="Q61" s="6">
        <v>0.29139999999999999</v>
      </c>
      <c r="R61" s="27">
        <v>0.41610000000000003</v>
      </c>
      <c r="S61" s="6">
        <v>5209</v>
      </c>
      <c r="T61" s="27">
        <v>136036</v>
      </c>
      <c r="U61" s="6">
        <f t="shared" si="18"/>
        <v>0.16820744340018876</v>
      </c>
      <c r="AC61" s="2">
        <f t="shared" si="12"/>
        <v>0.47082858183324755</v>
      </c>
      <c r="AD61" s="2">
        <f t="shared" si="12"/>
        <v>1.2948140780447337</v>
      </c>
      <c r="AE61" s="2">
        <f t="shared" si="12"/>
        <v>1.1721045341207077E-3</v>
      </c>
      <c r="AF61" s="2">
        <f t="shared" si="12"/>
        <v>-5.9070875499386416E-2</v>
      </c>
      <c r="AG61" s="2">
        <f t="shared" si="12"/>
        <v>2.4018608236086849</v>
      </c>
      <c r="AH61" s="2">
        <f t="shared" si="12"/>
        <v>2.9931017486520926</v>
      </c>
      <c r="AI61" s="2">
        <f t="shared" si="12"/>
        <v>0</v>
      </c>
      <c r="AJ61" s="2">
        <f t="shared" si="12"/>
        <v>3.9234236902633002E-3</v>
      </c>
      <c r="AK61" s="2">
        <f t="shared" si="12"/>
        <v>3.2709583305725133E-2</v>
      </c>
      <c r="AL61" s="2">
        <f t="shared" si="12"/>
        <v>6.3834724770371637E-2</v>
      </c>
      <c r="AM61" s="2">
        <f t="shared" si="12"/>
        <v>1.6255577638363432E-2</v>
      </c>
      <c r="AN61" s="2">
        <f t="shared" si="12"/>
        <v>1.5851616398685427E-2</v>
      </c>
      <c r="AO61" s="2">
        <f t="shared" si="12"/>
        <v>1.2922862703093993E-3</v>
      </c>
      <c r="AP61" s="2">
        <f t="shared" si="12"/>
        <v>1.8452996467938955E-3</v>
      </c>
      <c r="AQ61" s="2">
        <f t="shared" si="12"/>
        <v>23.100614900623409</v>
      </c>
      <c r="AR61" s="2">
        <f t="shared" si="12"/>
        <v>603.28570716475451</v>
      </c>
    </row>
    <row r="62" spans="2:44">
      <c r="B62" s="6" t="s">
        <v>1</v>
      </c>
      <c r="C62" s="35">
        <f t="shared" si="13"/>
        <v>0</v>
      </c>
      <c r="D62" s="6" t="s">
        <v>94</v>
      </c>
      <c r="E62" s="18">
        <v>18.015000000000001</v>
      </c>
      <c r="F62" s="18">
        <v>212</v>
      </c>
      <c r="G62" s="6">
        <v>0.94950000000000001</v>
      </c>
      <c r="H62" s="20">
        <v>32</v>
      </c>
      <c r="I62" s="20">
        <v>3207.9</v>
      </c>
      <c r="J62" s="20">
        <v>705.5</v>
      </c>
      <c r="K62" s="19">
        <v>0.34339999999999998</v>
      </c>
      <c r="L62" s="30">
        <v>1</v>
      </c>
      <c r="M62" s="28">
        <v>8.3369999999999997</v>
      </c>
      <c r="N62" s="28">
        <f t="shared" si="16"/>
        <v>2.1608492263404102</v>
      </c>
      <c r="O62" s="19">
        <v>21.06</v>
      </c>
      <c r="P62" s="19">
        <f t="shared" si="17"/>
        <v>0.62212725546058889</v>
      </c>
      <c r="Q62" s="6">
        <v>0.44469999999999998</v>
      </c>
      <c r="R62" s="27">
        <v>1.0009999999999999</v>
      </c>
      <c r="S62" s="6">
        <v>49</v>
      </c>
      <c r="T62" s="27">
        <v>0</v>
      </c>
      <c r="U62" s="6"/>
      <c r="AC62" s="2">
        <f t="shared" si="12"/>
        <v>0</v>
      </c>
      <c r="AD62" s="2">
        <f t="shared" si="12"/>
        <v>0</v>
      </c>
      <c r="AE62" s="2">
        <f t="shared" si="12"/>
        <v>0</v>
      </c>
      <c r="AF62" s="2">
        <f t="shared" si="12"/>
        <v>0</v>
      </c>
      <c r="AG62" s="2">
        <f t="shared" si="12"/>
        <v>0</v>
      </c>
      <c r="AH62" s="2">
        <f t="shared" si="12"/>
        <v>0</v>
      </c>
      <c r="AI62" s="2">
        <f t="shared" si="12"/>
        <v>0</v>
      </c>
      <c r="AJ62" s="2">
        <f t="shared" si="12"/>
        <v>0</v>
      </c>
      <c r="AK62" s="2">
        <f t="shared" si="12"/>
        <v>0</v>
      </c>
      <c r="AL62" s="2">
        <f t="shared" si="12"/>
        <v>0</v>
      </c>
      <c r="AM62" s="2">
        <f t="shared" si="12"/>
        <v>0</v>
      </c>
      <c r="AN62" s="2">
        <f t="shared" si="12"/>
        <v>0</v>
      </c>
      <c r="AO62" s="2">
        <f t="shared" si="12"/>
        <v>0</v>
      </c>
      <c r="AP62" s="2">
        <f t="shared" si="12"/>
        <v>0</v>
      </c>
      <c r="AQ62" s="2">
        <f t="shared" si="12"/>
        <v>0</v>
      </c>
      <c r="AR62" s="2">
        <f t="shared" ref="AR62" si="19">T62*$C62</f>
        <v>0</v>
      </c>
    </row>
    <row r="63" spans="2:44">
      <c r="B63" s="6" t="s">
        <v>95</v>
      </c>
      <c r="C63" s="35">
        <f>SUM(C47:C62)</f>
        <v>0.19822932738769705</v>
      </c>
      <c r="D63" s="6"/>
      <c r="E63" s="18">
        <f>AC63</f>
        <v>13.467884927787241</v>
      </c>
      <c r="F63" s="18">
        <f t="shared" ref="F63:T63" si="20">AD63</f>
        <v>14.097606406760018</v>
      </c>
      <c r="G63" s="18">
        <f t="shared" si="20"/>
        <v>68.537560275340212</v>
      </c>
      <c r="H63" s="18">
        <f t="shared" si="20"/>
        <v>-35.799413910399025</v>
      </c>
      <c r="I63" s="18">
        <f t="shared" si="20"/>
        <v>125.55717574916747</v>
      </c>
      <c r="J63" s="18">
        <f t="shared" si="20"/>
        <v>70.57716999305309</v>
      </c>
      <c r="K63" s="18">
        <f t="shared" si="20"/>
        <v>0.17839961628289477</v>
      </c>
      <c r="L63" s="28">
        <f t="shared" si="20"/>
        <v>0.12477739416038942</v>
      </c>
      <c r="M63" s="28">
        <f t="shared" si="20"/>
        <v>1.0402691351151667</v>
      </c>
      <c r="N63" s="28">
        <f t="shared" si="20"/>
        <v>2.5161402457208628</v>
      </c>
      <c r="O63" s="18">
        <f t="shared" si="20"/>
        <v>0.49144695613543449</v>
      </c>
      <c r="P63" s="18">
        <f t="shared" si="20"/>
        <v>1.3345229179188856</v>
      </c>
      <c r="Q63" s="18">
        <f t="shared" si="20"/>
        <v>7.4013850183438062E-2</v>
      </c>
      <c r="R63" s="28">
        <f t="shared" si="20"/>
        <v>0.1008274839388681</v>
      </c>
      <c r="S63" s="18">
        <f t="shared" si="20"/>
        <v>721.96207889882498</v>
      </c>
      <c r="T63" s="28">
        <f t="shared" si="20"/>
        <v>20118.927953116348</v>
      </c>
      <c r="U63" s="18">
        <f>SUM(U51:U61)</f>
        <v>6.386720948510467</v>
      </c>
      <c r="V63" s="11"/>
      <c r="W63" s="11"/>
      <c r="X63" s="11"/>
      <c r="Y63" s="11"/>
      <c r="Z63" s="11"/>
      <c r="AA63" s="11"/>
      <c r="AC63" s="2">
        <f>SUM(AC47:AC62)</f>
        <v>13.467884927787241</v>
      </c>
      <c r="AD63" s="2">
        <f t="shared" ref="AD63:AR63" si="21">SUM(AD47:AD62)</f>
        <v>14.097606406760018</v>
      </c>
      <c r="AE63" s="2">
        <f t="shared" si="21"/>
        <v>68.537560275340212</v>
      </c>
      <c r="AF63" s="2">
        <f t="shared" si="21"/>
        <v>-35.799413910399025</v>
      </c>
      <c r="AG63" s="2">
        <f t="shared" si="21"/>
        <v>125.55717574916747</v>
      </c>
      <c r="AH63" s="2">
        <f t="shared" si="21"/>
        <v>70.57716999305309</v>
      </c>
      <c r="AI63" s="2">
        <f t="shared" si="21"/>
        <v>0.17839961628289477</v>
      </c>
      <c r="AJ63" s="2">
        <f t="shared" si="21"/>
        <v>0.12477739416038942</v>
      </c>
      <c r="AK63" s="2">
        <f t="shared" si="21"/>
        <v>1.0402691351151667</v>
      </c>
      <c r="AL63" s="2">
        <f t="shared" si="21"/>
        <v>2.5161402457208628</v>
      </c>
      <c r="AM63" s="2">
        <f t="shared" si="21"/>
        <v>0.49144695613543449</v>
      </c>
      <c r="AN63" s="2">
        <f t="shared" si="21"/>
        <v>1.3345229179188856</v>
      </c>
      <c r="AO63" s="2">
        <f t="shared" si="21"/>
        <v>7.4013850183438062E-2</v>
      </c>
      <c r="AP63" s="2">
        <f t="shared" si="21"/>
        <v>0.1008274839388681</v>
      </c>
      <c r="AQ63" s="2">
        <f t="shared" si="21"/>
        <v>721.96207889882498</v>
      </c>
      <c r="AR63" s="2">
        <f t="shared" si="21"/>
        <v>20118.927953116348</v>
      </c>
    </row>
    <row r="65" spans="1:44">
      <c r="A65" s="13" t="s">
        <v>238</v>
      </c>
    </row>
    <row r="66" spans="1:44">
      <c r="C66" s="7" t="s">
        <v>38</v>
      </c>
      <c r="D66" s="7"/>
      <c r="E66" s="7"/>
      <c r="F66" s="7" t="s">
        <v>39</v>
      </c>
      <c r="G66" s="7" t="s">
        <v>40</v>
      </c>
      <c r="H66" s="7" t="s">
        <v>41</v>
      </c>
      <c r="I66" s="7" t="s">
        <v>42</v>
      </c>
      <c r="J66" s="7" t="s">
        <v>43</v>
      </c>
      <c r="K66" s="7"/>
      <c r="L66" s="342" t="s">
        <v>44</v>
      </c>
      <c r="M66" s="343"/>
      <c r="N66" s="344"/>
      <c r="O66" s="350" t="s">
        <v>45</v>
      </c>
      <c r="P66" s="351"/>
      <c r="Q66" s="25" t="s">
        <v>46</v>
      </c>
      <c r="R66" s="7" t="s">
        <v>47</v>
      </c>
      <c r="S66" s="25" t="s">
        <v>48</v>
      </c>
      <c r="T66" s="7" t="s">
        <v>49</v>
      </c>
      <c r="U66" s="25" t="s">
        <v>50</v>
      </c>
    </row>
    <row r="67" spans="1:44">
      <c r="C67" s="8" t="s">
        <v>51</v>
      </c>
      <c r="D67" s="8" t="s">
        <v>52</v>
      </c>
      <c r="E67" s="8" t="s">
        <v>53</v>
      </c>
      <c r="F67" s="17" t="s">
        <v>54</v>
      </c>
      <c r="G67" s="17" t="s">
        <v>55</v>
      </c>
      <c r="H67" s="8" t="s">
        <v>56</v>
      </c>
      <c r="I67" s="8" t="s">
        <v>57</v>
      </c>
      <c r="J67" s="8" t="s">
        <v>58</v>
      </c>
      <c r="K67" s="8" t="s">
        <v>59</v>
      </c>
      <c r="L67" s="6" t="s">
        <v>60</v>
      </c>
      <c r="M67" s="6" t="s">
        <v>61</v>
      </c>
      <c r="N67" s="18" t="s">
        <v>62</v>
      </c>
      <c r="O67" s="30" t="s">
        <v>60</v>
      </c>
      <c r="P67" s="30" t="s">
        <v>63</v>
      </c>
      <c r="Q67" s="29" t="s">
        <v>64</v>
      </c>
      <c r="R67" s="8" t="s">
        <v>64</v>
      </c>
      <c r="S67" s="29" t="s">
        <v>65</v>
      </c>
      <c r="T67" s="8" t="s">
        <v>66</v>
      </c>
      <c r="U67" s="29" t="s">
        <v>67</v>
      </c>
    </row>
    <row r="68" spans="1:44">
      <c r="B68" s="6" t="s">
        <v>68</v>
      </c>
      <c r="C68" s="35" t="e">
        <f>AB25/$AB$41</f>
        <v>#DIV/0!</v>
      </c>
      <c r="D68" s="6" t="s">
        <v>4</v>
      </c>
      <c r="E68" s="18">
        <v>28.013000000000002</v>
      </c>
      <c r="F68" s="18">
        <v>-297.33199999999999</v>
      </c>
      <c r="G68" s="6"/>
      <c r="H68" s="20">
        <v>-346</v>
      </c>
      <c r="I68" s="20">
        <v>493</v>
      </c>
      <c r="J68" s="20">
        <v>-232.7</v>
      </c>
      <c r="K68" s="19">
        <v>0.99997000000000003</v>
      </c>
      <c r="L68" s="19">
        <v>0.80940000000000001</v>
      </c>
      <c r="M68" s="18">
        <f>L68*$M$19</f>
        <v>6.7479677999999996</v>
      </c>
      <c r="N68" s="18">
        <f t="shared" ref="N68:N70" si="22">E68/M68</f>
        <v>4.1513238993226977</v>
      </c>
      <c r="O68" s="30">
        <v>13.547000000000001</v>
      </c>
      <c r="P68" s="30">
        <f>13.102/O68</f>
        <v>0.96715139883369006</v>
      </c>
      <c r="Q68" s="27">
        <v>0.24840000000000001</v>
      </c>
      <c r="R68" s="6"/>
      <c r="S68" s="27"/>
      <c r="T68" s="6"/>
      <c r="U68" s="27"/>
      <c r="AC68" s="2" t="e">
        <f t="shared" ref="AC68:AR83" si="23">E68*$C68</f>
        <v>#DIV/0!</v>
      </c>
      <c r="AD68" s="2" t="e">
        <f t="shared" si="23"/>
        <v>#DIV/0!</v>
      </c>
      <c r="AE68" s="2" t="e">
        <f t="shared" si="23"/>
        <v>#DIV/0!</v>
      </c>
      <c r="AF68" s="2" t="e">
        <f t="shared" si="23"/>
        <v>#DIV/0!</v>
      </c>
      <c r="AG68" s="2" t="e">
        <f t="shared" si="23"/>
        <v>#DIV/0!</v>
      </c>
      <c r="AH68" s="2" t="e">
        <f t="shared" si="23"/>
        <v>#DIV/0!</v>
      </c>
      <c r="AI68" s="2" t="e">
        <f t="shared" si="23"/>
        <v>#DIV/0!</v>
      </c>
      <c r="AJ68" s="2" t="e">
        <f t="shared" si="23"/>
        <v>#DIV/0!</v>
      </c>
      <c r="AK68" s="2" t="e">
        <f t="shared" si="23"/>
        <v>#DIV/0!</v>
      </c>
      <c r="AL68" s="2" t="e">
        <f t="shared" si="23"/>
        <v>#DIV/0!</v>
      </c>
      <c r="AM68" s="2" t="e">
        <f t="shared" si="23"/>
        <v>#DIV/0!</v>
      </c>
      <c r="AN68" s="2" t="e">
        <f t="shared" si="23"/>
        <v>#DIV/0!</v>
      </c>
      <c r="AO68" s="2" t="e">
        <f t="shared" si="23"/>
        <v>#DIV/0!</v>
      </c>
      <c r="AP68" s="2" t="e">
        <f t="shared" si="23"/>
        <v>#DIV/0!</v>
      </c>
      <c r="AQ68" s="2" t="e">
        <f t="shared" si="23"/>
        <v>#DIV/0!</v>
      </c>
      <c r="AR68" s="2" t="e">
        <f t="shared" si="23"/>
        <v>#DIV/0!</v>
      </c>
    </row>
    <row r="69" spans="1:44">
      <c r="B69" s="6" t="s">
        <v>69</v>
      </c>
      <c r="C69" s="35" t="e">
        <f t="shared" ref="C69:C83" si="24">AB26/$AB$41</f>
        <v>#DIV/0!</v>
      </c>
      <c r="D69" s="6" t="s">
        <v>70</v>
      </c>
      <c r="E69" s="18">
        <v>44.01</v>
      </c>
      <c r="F69" s="18">
        <v>-109.32</v>
      </c>
      <c r="G69" s="6"/>
      <c r="H69" s="20">
        <v>-69.77</v>
      </c>
      <c r="I69" s="20">
        <v>1071</v>
      </c>
      <c r="J69" s="20">
        <v>87.87</v>
      </c>
      <c r="K69" s="19">
        <v>0.99429999999999996</v>
      </c>
      <c r="L69" s="19">
        <v>0.81759999999999999</v>
      </c>
      <c r="M69" s="18">
        <f t="shared" ref="M69:M82" si="25">L69*$M$19</f>
        <v>6.8163311999999996</v>
      </c>
      <c r="N69" s="18">
        <f t="shared" si="22"/>
        <v>6.4565524632957976</v>
      </c>
      <c r="O69" s="30">
        <v>8.6229999999999993</v>
      </c>
      <c r="P69" s="30">
        <f t="shared" ref="P69:P70" si="26">13.102/O69</f>
        <v>1.5194247941551666</v>
      </c>
      <c r="Q69" s="27">
        <v>0.19900000000000001</v>
      </c>
      <c r="R69" s="6"/>
      <c r="S69" s="27"/>
      <c r="T69" s="6"/>
      <c r="U69" s="27"/>
      <c r="AC69" s="2" t="e">
        <f t="shared" si="23"/>
        <v>#DIV/0!</v>
      </c>
      <c r="AD69" s="2" t="e">
        <f t="shared" si="23"/>
        <v>#DIV/0!</v>
      </c>
      <c r="AE69" s="2" t="e">
        <f t="shared" si="23"/>
        <v>#DIV/0!</v>
      </c>
      <c r="AF69" s="2" t="e">
        <f t="shared" si="23"/>
        <v>#DIV/0!</v>
      </c>
      <c r="AG69" s="2" t="e">
        <f t="shared" si="23"/>
        <v>#DIV/0!</v>
      </c>
      <c r="AH69" s="2" t="e">
        <f t="shared" si="23"/>
        <v>#DIV/0!</v>
      </c>
      <c r="AI69" s="2" t="e">
        <f t="shared" si="23"/>
        <v>#DIV/0!</v>
      </c>
      <c r="AJ69" s="2" t="e">
        <f t="shared" si="23"/>
        <v>#DIV/0!</v>
      </c>
      <c r="AK69" s="2" t="e">
        <f t="shared" si="23"/>
        <v>#DIV/0!</v>
      </c>
      <c r="AL69" s="2" t="e">
        <f t="shared" si="23"/>
        <v>#DIV/0!</v>
      </c>
      <c r="AM69" s="2" t="e">
        <f t="shared" si="23"/>
        <v>#DIV/0!</v>
      </c>
      <c r="AN69" s="2" t="e">
        <f t="shared" si="23"/>
        <v>#DIV/0!</v>
      </c>
      <c r="AO69" s="2" t="e">
        <f t="shared" si="23"/>
        <v>#DIV/0!</v>
      </c>
      <c r="AP69" s="2" t="e">
        <f t="shared" si="23"/>
        <v>#DIV/0!</v>
      </c>
      <c r="AQ69" s="2" t="e">
        <f t="shared" si="23"/>
        <v>#DIV/0!</v>
      </c>
      <c r="AR69" s="2" t="e">
        <f t="shared" si="23"/>
        <v>#DIV/0!</v>
      </c>
    </row>
    <row r="70" spans="1:44">
      <c r="B70" s="6" t="s">
        <v>71</v>
      </c>
      <c r="C70" s="35" t="e">
        <f t="shared" si="24"/>
        <v>#DIV/0!</v>
      </c>
      <c r="D70" s="6" t="s">
        <v>2</v>
      </c>
      <c r="E70" s="18">
        <v>34.076000000000001</v>
      </c>
      <c r="F70" s="18">
        <v>-76.56</v>
      </c>
      <c r="G70" s="6">
        <v>387.1</v>
      </c>
      <c r="H70" s="20">
        <v>-121.58</v>
      </c>
      <c r="I70" s="20">
        <v>1036</v>
      </c>
      <c r="J70" s="20">
        <v>212.6</v>
      </c>
      <c r="K70" s="19">
        <v>0.99029999999999996</v>
      </c>
      <c r="L70" s="19">
        <v>0.78710000000000002</v>
      </c>
      <c r="M70" s="18">
        <f t="shared" si="25"/>
        <v>6.5620526999999997</v>
      </c>
      <c r="N70" s="18">
        <f t="shared" si="22"/>
        <v>5.1928872805303747</v>
      </c>
      <c r="O70" s="30">
        <v>11.135999999999999</v>
      </c>
      <c r="P70" s="30">
        <f t="shared" si="26"/>
        <v>1.1765445402298851</v>
      </c>
      <c r="Q70" s="27">
        <v>0.2379</v>
      </c>
      <c r="R70" s="6">
        <v>0.49680000000000002</v>
      </c>
      <c r="S70" s="27">
        <v>637</v>
      </c>
      <c r="T70" s="6"/>
      <c r="U70" s="27"/>
      <c r="AC70" s="2" t="e">
        <f t="shared" si="23"/>
        <v>#DIV/0!</v>
      </c>
      <c r="AD70" s="2" t="e">
        <f t="shared" si="23"/>
        <v>#DIV/0!</v>
      </c>
      <c r="AE70" s="2" t="e">
        <f t="shared" si="23"/>
        <v>#DIV/0!</v>
      </c>
      <c r="AF70" s="2" t="e">
        <f t="shared" si="23"/>
        <v>#DIV/0!</v>
      </c>
      <c r="AG70" s="2" t="e">
        <f t="shared" si="23"/>
        <v>#DIV/0!</v>
      </c>
      <c r="AH70" s="2" t="e">
        <f t="shared" si="23"/>
        <v>#DIV/0!</v>
      </c>
      <c r="AI70" s="2" t="e">
        <f t="shared" si="23"/>
        <v>#DIV/0!</v>
      </c>
      <c r="AJ70" s="2" t="e">
        <f t="shared" si="23"/>
        <v>#DIV/0!</v>
      </c>
      <c r="AK70" s="2" t="e">
        <f t="shared" si="23"/>
        <v>#DIV/0!</v>
      </c>
      <c r="AL70" s="2" t="e">
        <f t="shared" si="23"/>
        <v>#DIV/0!</v>
      </c>
      <c r="AM70" s="2" t="e">
        <f t="shared" si="23"/>
        <v>#DIV/0!</v>
      </c>
      <c r="AN70" s="2" t="e">
        <f t="shared" si="23"/>
        <v>#DIV/0!</v>
      </c>
      <c r="AO70" s="2" t="e">
        <f t="shared" si="23"/>
        <v>#DIV/0!</v>
      </c>
      <c r="AP70" s="2" t="e">
        <f t="shared" si="23"/>
        <v>#DIV/0!</v>
      </c>
      <c r="AQ70" s="2" t="e">
        <f t="shared" si="23"/>
        <v>#DIV/0!</v>
      </c>
      <c r="AR70" s="2" t="e">
        <f t="shared" si="23"/>
        <v>#DIV/0!</v>
      </c>
    </row>
    <row r="71" spans="1:44">
      <c r="B71" s="6" t="s">
        <v>72</v>
      </c>
      <c r="C71" s="35" t="e">
        <f t="shared" si="24"/>
        <v>#DIV/0!</v>
      </c>
      <c r="D71" s="6" t="s">
        <v>73</v>
      </c>
      <c r="E71" s="18">
        <v>16.042999999999999</v>
      </c>
      <c r="F71" s="18">
        <v>-258.7</v>
      </c>
      <c r="G71" s="6">
        <v>5000</v>
      </c>
      <c r="H71" s="20">
        <v>-296.5</v>
      </c>
      <c r="I71" s="20">
        <v>667.8</v>
      </c>
      <c r="J71" s="20">
        <v>-116.68</v>
      </c>
      <c r="K71" s="19">
        <v>0.99809999999999999</v>
      </c>
      <c r="L71" s="19">
        <v>0.3</v>
      </c>
      <c r="M71" s="18">
        <f t="shared" si="25"/>
        <v>2.5010999999999997</v>
      </c>
      <c r="N71" s="18">
        <f>E71/M71</f>
        <v>6.4143776738235179</v>
      </c>
      <c r="O71" s="30">
        <v>0.55389999999999995</v>
      </c>
      <c r="P71" s="30">
        <f>13.102/O71</f>
        <v>23.654089185773607</v>
      </c>
      <c r="Q71" s="27">
        <v>0.52659999999999996</v>
      </c>
      <c r="R71" s="6"/>
      <c r="S71" s="27">
        <v>1009.7</v>
      </c>
      <c r="T71" s="6"/>
      <c r="U71" s="27"/>
      <c r="AC71" s="2" t="e">
        <f t="shared" si="23"/>
        <v>#DIV/0!</v>
      </c>
      <c r="AD71" s="2" t="e">
        <f t="shared" si="23"/>
        <v>#DIV/0!</v>
      </c>
      <c r="AE71" s="2" t="e">
        <f t="shared" si="23"/>
        <v>#DIV/0!</v>
      </c>
      <c r="AF71" s="2" t="e">
        <f t="shared" si="23"/>
        <v>#DIV/0!</v>
      </c>
      <c r="AG71" s="2" t="e">
        <f t="shared" si="23"/>
        <v>#DIV/0!</v>
      </c>
      <c r="AH71" s="2" t="e">
        <f t="shared" si="23"/>
        <v>#DIV/0!</v>
      </c>
      <c r="AI71" s="2" t="e">
        <f t="shared" si="23"/>
        <v>#DIV/0!</v>
      </c>
      <c r="AJ71" s="2" t="e">
        <f t="shared" si="23"/>
        <v>#DIV/0!</v>
      </c>
      <c r="AK71" s="2" t="e">
        <f t="shared" si="23"/>
        <v>#DIV/0!</v>
      </c>
      <c r="AL71" s="2" t="e">
        <f t="shared" si="23"/>
        <v>#DIV/0!</v>
      </c>
      <c r="AM71" s="2" t="e">
        <f t="shared" si="23"/>
        <v>#DIV/0!</v>
      </c>
      <c r="AN71" s="2" t="e">
        <f t="shared" si="23"/>
        <v>#DIV/0!</v>
      </c>
      <c r="AO71" s="2" t="e">
        <f t="shared" si="23"/>
        <v>#DIV/0!</v>
      </c>
      <c r="AP71" s="2" t="e">
        <f t="shared" si="23"/>
        <v>#DIV/0!</v>
      </c>
      <c r="AQ71" s="2" t="e">
        <f t="shared" si="23"/>
        <v>#DIV/0!</v>
      </c>
      <c r="AR71" s="2" t="e">
        <f t="shared" si="23"/>
        <v>#DIV/0!</v>
      </c>
    </row>
    <row r="72" spans="1:44">
      <c r="B72" s="6" t="s">
        <v>74</v>
      </c>
      <c r="C72" s="35" t="e">
        <f t="shared" si="24"/>
        <v>#DIV/0!</v>
      </c>
      <c r="D72" s="6" t="s">
        <v>75</v>
      </c>
      <c r="E72" s="18">
        <v>30.7</v>
      </c>
      <c r="F72" s="18">
        <v>-127.44</v>
      </c>
      <c r="G72" s="6">
        <v>800</v>
      </c>
      <c r="H72" s="20">
        <v>-297.04000000000002</v>
      </c>
      <c r="I72" s="20">
        <v>707.8</v>
      </c>
      <c r="J72" s="20">
        <v>90.1</v>
      </c>
      <c r="K72" s="19">
        <v>0.99609999999999999</v>
      </c>
      <c r="L72" s="19">
        <v>0.35630000000000001</v>
      </c>
      <c r="M72" s="18">
        <f t="shared" si="25"/>
        <v>2.9704731</v>
      </c>
      <c r="N72" s="18">
        <f t="shared" ref="N72:N83" si="27">E72/M72</f>
        <v>10.335054035668595</v>
      </c>
      <c r="O72" s="30">
        <v>1.0382</v>
      </c>
      <c r="P72" s="30">
        <f t="shared" ref="P72:P83" si="28">13.102/O72</f>
        <v>12.619919090733962</v>
      </c>
      <c r="Q72" s="27">
        <v>0.40799999999999997</v>
      </c>
      <c r="R72" s="6">
        <v>0.92559999999999998</v>
      </c>
      <c r="S72" s="27">
        <v>1768</v>
      </c>
      <c r="T72" s="6">
        <v>65889</v>
      </c>
      <c r="U72" s="27" t="e">
        <f>N72*C72/100/0.3795</f>
        <v>#DIV/0!</v>
      </c>
      <c r="AC72" s="2" t="e">
        <f t="shared" si="23"/>
        <v>#DIV/0!</v>
      </c>
      <c r="AD72" s="2" t="e">
        <f t="shared" si="23"/>
        <v>#DIV/0!</v>
      </c>
      <c r="AE72" s="2" t="e">
        <f t="shared" si="23"/>
        <v>#DIV/0!</v>
      </c>
      <c r="AF72" s="2" t="e">
        <f t="shared" si="23"/>
        <v>#DIV/0!</v>
      </c>
      <c r="AG72" s="2" t="e">
        <f t="shared" si="23"/>
        <v>#DIV/0!</v>
      </c>
      <c r="AH72" s="2" t="e">
        <f t="shared" si="23"/>
        <v>#DIV/0!</v>
      </c>
      <c r="AI72" s="2" t="e">
        <f t="shared" si="23"/>
        <v>#DIV/0!</v>
      </c>
      <c r="AJ72" s="2" t="e">
        <f t="shared" si="23"/>
        <v>#DIV/0!</v>
      </c>
      <c r="AK72" s="2" t="e">
        <f t="shared" si="23"/>
        <v>#DIV/0!</v>
      </c>
      <c r="AL72" s="2" t="e">
        <f t="shared" si="23"/>
        <v>#DIV/0!</v>
      </c>
      <c r="AM72" s="2" t="e">
        <f t="shared" si="23"/>
        <v>#DIV/0!</v>
      </c>
      <c r="AN72" s="2" t="e">
        <f t="shared" si="23"/>
        <v>#DIV/0!</v>
      </c>
      <c r="AO72" s="2" t="e">
        <f t="shared" si="23"/>
        <v>#DIV/0!</v>
      </c>
      <c r="AP72" s="2" t="e">
        <f t="shared" si="23"/>
        <v>#DIV/0!</v>
      </c>
      <c r="AQ72" s="2" t="e">
        <f t="shared" si="23"/>
        <v>#DIV/0!</v>
      </c>
      <c r="AR72" s="2" t="e">
        <f t="shared" si="23"/>
        <v>#DIV/0!</v>
      </c>
    </row>
    <row r="73" spans="1:44">
      <c r="B73" s="6" t="s">
        <v>76</v>
      </c>
      <c r="C73" s="35" t="e">
        <f t="shared" si="24"/>
        <v>#DIV/0!</v>
      </c>
      <c r="D73" s="6" t="s">
        <v>77</v>
      </c>
      <c r="E73" s="18">
        <v>44.097000000000001</v>
      </c>
      <c r="F73" s="18">
        <v>-43.73</v>
      </c>
      <c r="G73" s="6">
        <v>188</v>
      </c>
      <c r="H73" s="20">
        <v>-305.82</v>
      </c>
      <c r="I73" s="20">
        <v>616.29999999999995</v>
      </c>
      <c r="J73" s="20">
        <v>206.1</v>
      </c>
      <c r="K73" s="19">
        <v>0.98080000000000001</v>
      </c>
      <c r="L73" s="19">
        <v>0.50749999999999995</v>
      </c>
      <c r="M73" s="18">
        <f t="shared" si="25"/>
        <v>4.2310274999999997</v>
      </c>
      <c r="N73" s="18">
        <f t="shared" si="27"/>
        <v>10.422291039233379</v>
      </c>
      <c r="O73" s="30">
        <v>1.5225</v>
      </c>
      <c r="P73" s="30">
        <f t="shared" si="28"/>
        <v>8.6055829228243024</v>
      </c>
      <c r="Q73" s="27">
        <v>0.38869999999999999</v>
      </c>
      <c r="R73" s="6">
        <v>0.59019999999999995</v>
      </c>
      <c r="S73" s="27">
        <v>2517</v>
      </c>
      <c r="T73" s="6">
        <v>90962</v>
      </c>
      <c r="U73" s="27" t="e">
        <f t="shared" ref="U73:U82" si="29">N73*C73/100/0.3795</f>
        <v>#DIV/0!</v>
      </c>
      <c r="AC73" s="2" t="e">
        <f t="shared" si="23"/>
        <v>#DIV/0!</v>
      </c>
      <c r="AD73" s="2" t="e">
        <f t="shared" si="23"/>
        <v>#DIV/0!</v>
      </c>
      <c r="AE73" s="2" t="e">
        <f t="shared" si="23"/>
        <v>#DIV/0!</v>
      </c>
      <c r="AF73" s="2" t="e">
        <f t="shared" si="23"/>
        <v>#DIV/0!</v>
      </c>
      <c r="AG73" s="2" t="e">
        <f t="shared" si="23"/>
        <v>#DIV/0!</v>
      </c>
      <c r="AH73" s="2" t="e">
        <f t="shared" si="23"/>
        <v>#DIV/0!</v>
      </c>
      <c r="AI73" s="2" t="e">
        <f t="shared" si="23"/>
        <v>#DIV/0!</v>
      </c>
      <c r="AJ73" s="2" t="e">
        <f t="shared" si="23"/>
        <v>#DIV/0!</v>
      </c>
      <c r="AK73" s="2" t="e">
        <f t="shared" si="23"/>
        <v>#DIV/0!</v>
      </c>
      <c r="AL73" s="2" t="e">
        <f t="shared" si="23"/>
        <v>#DIV/0!</v>
      </c>
      <c r="AM73" s="2" t="e">
        <f t="shared" si="23"/>
        <v>#DIV/0!</v>
      </c>
      <c r="AN73" s="2" t="e">
        <f t="shared" si="23"/>
        <v>#DIV/0!</v>
      </c>
      <c r="AO73" s="2" t="e">
        <f t="shared" si="23"/>
        <v>#DIV/0!</v>
      </c>
      <c r="AP73" s="2" t="e">
        <f t="shared" si="23"/>
        <v>#DIV/0!</v>
      </c>
      <c r="AQ73" s="2" t="e">
        <f t="shared" si="23"/>
        <v>#DIV/0!</v>
      </c>
      <c r="AR73" s="2" t="e">
        <f t="shared" si="23"/>
        <v>#DIV/0!</v>
      </c>
    </row>
    <row r="74" spans="1:44">
      <c r="B74" s="6" t="s">
        <v>78</v>
      </c>
      <c r="C74" s="35" t="e">
        <f t="shared" si="24"/>
        <v>#DIV/0!</v>
      </c>
      <c r="D74" s="6" t="s">
        <v>79</v>
      </c>
      <c r="E74" s="18">
        <v>58.124000000000002</v>
      </c>
      <c r="F74" s="18">
        <v>10.74</v>
      </c>
      <c r="G74" s="6">
        <v>72.39</v>
      </c>
      <c r="H74" s="20">
        <v>-255.28</v>
      </c>
      <c r="I74" s="20">
        <v>529.1</v>
      </c>
      <c r="J74" s="20">
        <v>274.95999999999998</v>
      </c>
      <c r="K74" s="19">
        <v>0.96609999999999996</v>
      </c>
      <c r="L74" s="19">
        <v>0.56299999999999994</v>
      </c>
      <c r="M74" s="18">
        <f t="shared" si="25"/>
        <v>4.6937309999999997</v>
      </c>
      <c r="N74" s="18">
        <f t="shared" si="27"/>
        <v>12.383325759401211</v>
      </c>
      <c r="O74" s="30">
        <v>2.0068000000000001</v>
      </c>
      <c r="P74" s="30">
        <f t="shared" si="28"/>
        <v>6.5288020729519634</v>
      </c>
      <c r="Q74" s="27">
        <v>0.38669999999999999</v>
      </c>
      <c r="R74" s="6">
        <v>0.56599999999999995</v>
      </c>
      <c r="S74" s="27">
        <v>3252</v>
      </c>
      <c r="T74" s="6">
        <v>98968</v>
      </c>
      <c r="U74" s="27" t="e">
        <f t="shared" si="29"/>
        <v>#DIV/0!</v>
      </c>
      <c r="AC74" s="2" t="e">
        <f t="shared" si="23"/>
        <v>#DIV/0!</v>
      </c>
      <c r="AD74" s="2" t="e">
        <f t="shared" si="23"/>
        <v>#DIV/0!</v>
      </c>
      <c r="AE74" s="2" t="e">
        <f t="shared" si="23"/>
        <v>#DIV/0!</v>
      </c>
      <c r="AF74" s="2" t="e">
        <f t="shared" si="23"/>
        <v>#DIV/0!</v>
      </c>
      <c r="AG74" s="2" t="e">
        <f t="shared" si="23"/>
        <v>#DIV/0!</v>
      </c>
      <c r="AH74" s="2" t="e">
        <f t="shared" si="23"/>
        <v>#DIV/0!</v>
      </c>
      <c r="AI74" s="2" t="e">
        <f t="shared" si="23"/>
        <v>#DIV/0!</v>
      </c>
      <c r="AJ74" s="2" t="e">
        <f t="shared" si="23"/>
        <v>#DIV/0!</v>
      </c>
      <c r="AK74" s="2" t="e">
        <f t="shared" si="23"/>
        <v>#DIV/0!</v>
      </c>
      <c r="AL74" s="2" t="e">
        <f t="shared" si="23"/>
        <v>#DIV/0!</v>
      </c>
      <c r="AM74" s="2" t="e">
        <f t="shared" si="23"/>
        <v>#DIV/0!</v>
      </c>
      <c r="AN74" s="2" t="e">
        <f t="shared" si="23"/>
        <v>#DIV/0!</v>
      </c>
      <c r="AO74" s="2" t="e">
        <f t="shared" si="23"/>
        <v>#DIV/0!</v>
      </c>
      <c r="AP74" s="2" t="e">
        <f t="shared" si="23"/>
        <v>#DIV/0!</v>
      </c>
      <c r="AQ74" s="2" t="e">
        <f t="shared" si="23"/>
        <v>#DIV/0!</v>
      </c>
      <c r="AR74" s="2" t="e">
        <f t="shared" si="23"/>
        <v>#DIV/0!</v>
      </c>
    </row>
    <row r="75" spans="1:44">
      <c r="B75" s="6" t="s">
        <v>80</v>
      </c>
      <c r="C75" s="35" t="e">
        <f t="shared" si="24"/>
        <v>#DIV/0!</v>
      </c>
      <c r="D75" s="6" t="s">
        <v>79</v>
      </c>
      <c r="E75" s="18">
        <v>58.124000000000002</v>
      </c>
      <c r="F75" s="18">
        <v>31.12</v>
      </c>
      <c r="G75" s="6">
        <v>51.54</v>
      </c>
      <c r="H75" s="20">
        <v>-217.05</v>
      </c>
      <c r="I75" s="20">
        <v>550.70000000000005</v>
      </c>
      <c r="J75" s="20">
        <v>305.62</v>
      </c>
      <c r="K75" s="19">
        <v>0.93669999999999998</v>
      </c>
      <c r="L75" s="19">
        <v>0.58430000000000004</v>
      </c>
      <c r="M75" s="18">
        <f t="shared" si="25"/>
        <v>4.8713091000000004</v>
      </c>
      <c r="N75" s="18">
        <f t="shared" si="27"/>
        <v>11.931905532334213</v>
      </c>
      <c r="O75" s="30">
        <v>2.0068000000000001</v>
      </c>
      <c r="P75" s="30">
        <f t="shared" si="28"/>
        <v>6.5288020729519634</v>
      </c>
      <c r="Q75" s="27">
        <v>0.39510000000000001</v>
      </c>
      <c r="R75" s="6">
        <v>0.56599999999999995</v>
      </c>
      <c r="S75" s="27">
        <v>3262</v>
      </c>
      <c r="T75" s="6">
        <v>102918</v>
      </c>
      <c r="U75" s="27" t="e">
        <f t="shared" si="29"/>
        <v>#DIV/0!</v>
      </c>
      <c r="AC75" s="2" t="e">
        <f t="shared" si="23"/>
        <v>#DIV/0!</v>
      </c>
      <c r="AD75" s="2" t="e">
        <f t="shared" si="23"/>
        <v>#DIV/0!</v>
      </c>
      <c r="AE75" s="2" t="e">
        <f t="shared" si="23"/>
        <v>#DIV/0!</v>
      </c>
      <c r="AF75" s="2" t="e">
        <f t="shared" si="23"/>
        <v>#DIV/0!</v>
      </c>
      <c r="AG75" s="2" t="e">
        <f t="shared" si="23"/>
        <v>#DIV/0!</v>
      </c>
      <c r="AH75" s="2" t="e">
        <f t="shared" si="23"/>
        <v>#DIV/0!</v>
      </c>
      <c r="AI75" s="2" t="e">
        <f t="shared" si="23"/>
        <v>#DIV/0!</v>
      </c>
      <c r="AJ75" s="2" t="e">
        <f t="shared" si="23"/>
        <v>#DIV/0!</v>
      </c>
      <c r="AK75" s="2" t="e">
        <f t="shared" si="23"/>
        <v>#DIV/0!</v>
      </c>
      <c r="AL75" s="2" t="e">
        <f t="shared" si="23"/>
        <v>#DIV/0!</v>
      </c>
      <c r="AM75" s="2" t="e">
        <f t="shared" si="23"/>
        <v>#DIV/0!</v>
      </c>
      <c r="AN75" s="2" t="e">
        <f t="shared" si="23"/>
        <v>#DIV/0!</v>
      </c>
      <c r="AO75" s="2" t="e">
        <f t="shared" si="23"/>
        <v>#DIV/0!</v>
      </c>
      <c r="AP75" s="2" t="e">
        <f t="shared" si="23"/>
        <v>#DIV/0!</v>
      </c>
      <c r="AQ75" s="2" t="e">
        <f t="shared" si="23"/>
        <v>#DIV/0!</v>
      </c>
      <c r="AR75" s="2" t="e">
        <f t="shared" si="23"/>
        <v>#DIV/0!</v>
      </c>
    </row>
    <row r="76" spans="1:44">
      <c r="B76" s="6" t="s">
        <v>81</v>
      </c>
      <c r="C76" s="35" t="e">
        <f t="shared" si="24"/>
        <v>#DIV/0!</v>
      </c>
      <c r="D76" s="6" t="s">
        <v>82</v>
      </c>
      <c r="E76" s="18">
        <v>72.150999999999996</v>
      </c>
      <c r="F76" s="18">
        <v>82.11</v>
      </c>
      <c r="G76" s="6">
        <v>20.443999999999999</v>
      </c>
      <c r="H76" s="20">
        <v>-255.82</v>
      </c>
      <c r="I76" s="20">
        <v>490.4</v>
      </c>
      <c r="J76" s="20">
        <v>369.03</v>
      </c>
      <c r="K76" s="19">
        <v>0.94799999999999995</v>
      </c>
      <c r="L76" s="19">
        <v>0.62439999999999996</v>
      </c>
      <c r="M76" s="18">
        <f t="shared" si="25"/>
        <v>5.2056227999999996</v>
      </c>
      <c r="N76" s="18">
        <f t="shared" si="27"/>
        <v>13.860205161234502</v>
      </c>
      <c r="O76" s="30">
        <v>2.4910999999999999</v>
      </c>
      <c r="P76" s="30">
        <f t="shared" si="28"/>
        <v>5.2595239051021645</v>
      </c>
      <c r="Q76" s="27">
        <v>0.38290000000000002</v>
      </c>
      <c r="R76" s="6">
        <v>0.5353</v>
      </c>
      <c r="S76" s="27">
        <v>4000</v>
      </c>
      <c r="T76" s="6">
        <v>108722</v>
      </c>
      <c r="U76" s="27" t="e">
        <f t="shared" si="29"/>
        <v>#DIV/0!</v>
      </c>
      <c r="AC76" s="2" t="e">
        <f t="shared" si="23"/>
        <v>#DIV/0!</v>
      </c>
      <c r="AD76" s="2" t="e">
        <f t="shared" si="23"/>
        <v>#DIV/0!</v>
      </c>
      <c r="AE76" s="2" t="e">
        <f t="shared" si="23"/>
        <v>#DIV/0!</v>
      </c>
      <c r="AF76" s="2" t="e">
        <f t="shared" si="23"/>
        <v>#DIV/0!</v>
      </c>
      <c r="AG76" s="2" t="e">
        <f t="shared" si="23"/>
        <v>#DIV/0!</v>
      </c>
      <c r="AH76" s="2" t="e">
        <f t="shared" si="23"/>
        <v>#DIV/0!</v>
      </c>
      <c r="AI76" s="2" t="e">
        <f t="shared" si="23"/>
        <v>#DIV/0!</v>
      </c>
      <c r="AJ76" s="2" t="e">
        <f t="shared" si="23"/>
        <v>#DIV/0!</v>
      </c>
      <c r="AK76" s="2" t="e">
        <f t="shared" si="23"/>
        <v>#DIV/0!</v>
      </c>
      <c r="AL76" s="2" t="e">
        <f t="shared" si="23"/>
        <v>#DIV/0!</v>
      </c>
      <c r="AM76" s="2" t="e">
        <f t="shared" si="23"/>
        <v>#DIV/0!</v>
      </c>
      <c r="AN76" s="2" t="e">
        <f t="shared" si="23"/>
        <v>#DIV/0!</v>
      </c>
      <c r="AO76" s="2" t="e">
        <f t="shared" si="23"/>
        <v>#DIV/0!</v>
      </c>
      <c r="AP76" s="2" t="e">
        <f t="shared" si="23"/>
        <v>#DIV/0!</v>
      </c>
      <c r="AQ76" s="2" t="e">
        <f t="shared" si="23"/>
        <v>#DIV/0!</v>
      </c>
      <c r="AR76" s="2" t="e">
        <f t="shared" si="23"/>
        <v>#DIV/0!</v>
      </c>
    </row>
    <row r="77" spans="1:44">
      <c r="B77" s="6" t="s">
        <v>83</v>
      </c>
      <c r="C77" s="35" t="e">
        <f t="shared" si="24"/>
        <v>#DIV/0!</v>
      </c>
      <c r="D77" s="6" t="s">
        <v>82</v>
      </c>
      <c r="E77" s="18">
        <v>72.150999999999996</v>
      </c>
      <c r="F77" s="18">
        <v>96.91</v>
      </c>
      <c r="G77" s="6">
        <v>15.574999999999999</v>
      </c>
      <c r="H77" s="20">
        <v>-201.51</v>
      </c>
      <c r="I77" s="20">
        <v>488.6</v>
      </c>
      <c r="J77" s="20">
        <v>385.6</v>
      </c>
      <c r="K77" s="19">
        <v>0.94199999999999995</v>
      </c>
      <c r="L77" s="19">
        <v>0.63109999999999999</v>
      </c>
      <c r="M77" s="18">
        <f t="shared" si="25"/>
        <v>5.2614806999999999</v>
      </c>
      <c r="N77" s="18">
        <f t="shared" si="27"/>
        <v>13.713059899659044</v>
      </c>
      <c r="O77" s="30">
        <v>2.4910999999999999</v>
      </c>
      <c r="P77" s="30">
        <f t="shared" si="28"/>
        <v>5.2595239051021645</v>
      </c>
      <c r="Q77" s="27">
        <v>0.39900000000000002</v>
      </c>
      <c r="R77" s="6">
        <v>0.54800000000000004</v>
      </c>
      <c r="S77" s="27">
        <v>4008</v>
      </c>
      <c r="T77" s="6">
        <v>110071</v>
      </c>
      <c r="U77" s="27" t="e">
        <f t="shared" si="29"/>
        <v>#DIV/0!</v>
      </c>
      <c r="AC77" s="2" t="e">
        <f t="shared" si="23"/>
        <v>#DIV/0!</v>
      </c>
      <c r="AD77" s="2" t="e">
        <f t="shared" si="23"/>
        <v>#DIV/0!</v>
      </c>
      <c r="AE77" s="2" t="e">
        <f t="shared" si="23"/>
        <v>#DIV/0!</v>
      </c>
      <c r="AF77" s="2" t="e">
        <f t="shared" si="23"/>
        <v>#DIV/0!</v>
      </c>
      <c r="AG77" s="2" t="e">
        <f t="shared" si="23"/>
        <v>#DIV/0!</v>
      </c>
      <c r="AH77" s="2" t="e">
        <f t="shared" si="23"/>
        <v>#DIV/0!</v>
      </c>
      <c r="AI77" s="2" t="e">
        <f t="shared" si="23"/>
        <v>#DIV/0!</v>
      </c>
      <c r="AJ77" s="2" t="e">
        <f t="shared" si="23"/>
        <v>#DIV/0!</v>
      </c>
      <c r="AK77" s="2" t="e">
        <f t="shared" si="23"/>
        <v>#DIV/0!</v>
      </c>
      <c r="AL77" s="2" t="e">
        <f t="shared" si="23"/>
        <v>#DIV/0!</v>
      </c>
      <c r="AM77" s="2" t="e">
        <f t="shared" si="23"/>
        <v>#DIV/0!</v>
      </c>
      <c r="AN77" s="2" t="e">
        <f t="shared" si="23"/>
        <v>#DIV/0!</v>
      </c>
      <c r="AO77" s="2" t="e">
        <f t="shared" si="23"/>
        <v>#DIV/0!</v>
      </c>
      <c r="AP77" s="2" t="e">
        <f t="shared" si="23"/>
        <v>#DIV/0!</v>
      </c>
      <c r="AQ77" s="2" t="e">
        <f t="shared" si="23"/>
        <v>#DIV/0!</v>
      </c>
      <c r="AR77" s="2" t="e">
        <f t="shared" si="23"/>
        <v>#DIV/0!</v>
      </c>
    </row>
    <row r="78" spans="1:44">
      <c r="B78" s="6" t="s">
        <v>84</v>
      </c>
      <c r="C78" s="35" t="e">
        <f t="shared" si="24"/>
        <v>#DIV/0!</v>
      </c>
      <c r="D78" s="6" t="s">
        <v>85</v>
      </c>
      <c r="E78" s="18">
        <v>86.177999999999997</v>
      </c>
      <c r="F78" s="18">
        <v>155.72999999999999</v>
      </c>
      <c r="G78" s="6">
        <v>4.96</v>
      </c>
      <c r="H78" s="20">
        <v>-139.58000000000001</v>
      </c>
      <c r="I78" s="20">
        <v>710.4</v>
      </c>
      <c r="J78" s="20">
        <v>453.6</v>
      </c>
      <c r="K78" s="19">
        <v>0.91</v>
      </c>
      <c r="L78" s="19">
        <v>0.66400000000000003</v>
      </c>
      <c r="M78" s="18">
        <f t="shared" si="25"/>
        <v>5.535768</v>
      </c>
      <c r="N78" s="18">
        <f t="shared" si="27"/>
        <v>15.567487654829465</v>
      </c>
      <c r="O78" s="30">
        <v>2.9752999999999998</v>
      </c>
      <c r="P78" s="30">
        <f t="shared" si="28"/>
        <v>4.4035895539945553</v>
      </c>
      <c r="Q78" s="27">
        <v>0.38569999999999999</v>
      </c>
      <c r="R78" s="6">
        <v>0.53320000000000001</v>
      </c>
      <c r="S78" s="27">
        <v>4756</v>
      </c>
      <c r="T78" s="6">
        <v>115055</v>
      </c>
      <c r="U78" s="27" t="e">
        <f t="shared" si="29"/>
        <v>#DIV/0!</v>
      </c>
      <c r="AC78" s="2" t="e">
        <f t="shared" si="23"/>
        <v>#DIV/0!</v>
      </c>
      <c r="AD78" s="2" t="e">
        <f t="shared" si="23"/>
        <v>#DIV/0!</v>
      </c>
      <c r="AE78" s="2" t="e">
        <f t="shared" si="23"/>
        <v>#DIV/0!</v>
      </c>
      <c r="AF78" s="2" t="e">
        <f t="shared" si="23"/>
        <v>#DIV/0!</v>
      </c>
      <c r="AG78" s="2" t="e">
        <f t="shared" si="23"/>
        <v>#DIV/0!</v>
      </c>
      <c r="AH78" s="2" t="e">
        <f t="shared" si="23"/>
        <v>#DIV/0!</v>
      </c>
      <c r="AI78" s="2" t="e">
        <f t="shared" si="23"/>
        <v>#DIV/0!</v>
      </c>
      <c r="AJ78" s="2" t="e">
        <f t="shared" si="23"/>
        <v>#DIV/0!</v>
      </c>
      <c r="AK78" s="2" t="e">
        <f t="shared" si="23"/>
        <v>#DIV/0!</v>
      </c>
      <c r="AL78" s="2" t="e">
        <f t="shared" si="23"/>
        <v>#DIV/0!</v>
      </c>
      <c r="AM78" s="2" t="e">
        <f t="shared" si="23"/>
        <v>#DIV/0!</v>
      </c>
      <c r="AN78" s="2" t="e">
        <f t="shared" si="23"/>
        <v>#DIV/0!</v>
      </c>
      <c r="AO78" s="2" t="e">
        <f t="shared" si="23"/>
        <v>#DIV/0!</v>
      </c>
      <c r="AP78" s="2" t="e">
        <f t="shared" si="23"/>
        <v>#DIV/0!</v>
      </c>
      <c r="AQ78" s="2" t="e">
        <f t="shared" si="23"/>
        <v>#DIV/0!</v>
      </c>
      <c r="AR78" s="2" t="e">
        <f t="shared" si="23"/>
        <v>#DIV/0!</v>
      </c>
    </row>
    <row r="79" spans="1:44">
      <c r="B79" s="6" t="s">
        <v>86</v>
      </c>
      <c r="C79" s="35" t="e">
        <f t="shared" si="24"/>
        <v>#DIV/0!</v>
      </c>
      <c r="D79" s="6" t="s">
        <v>87</v>
      </c>
      <c r="E79" s="18">
        <v>78.114000000000004</v>
      </c>
      <c r="F79" s="18">
        <v>176.16</v>
      </c>
      <c r="G79" s="6">
        <v>3.2250000000000001</v>
      </c>
      <c r="H79" s="20">
        <v>41.96</v>
      </c>
      <c r="I79" s="20">
        <v>710.4</v>
      </c>
      <c r="J79" s="20">
        <v>552.22</v>
      </c>
      <c r="K79" s="19">
        <v>0.92900000000000005</v>
      </c>
      <c r="L79" s="19">
        <v>0.88449999999999995</v>
      </c>
      <c r="M79" s="18">
        <f t="shared" si="25"/>
        <v>7.3740764999999993</v>
      </c>
      <c r="N79" s="18">
        <f t="shared" si="27"/>
        <v>10.593055279532292</v>
      </c>
      <c r="O79" s="30">
        <v>2.6968999999999999</v>
      </c>
      <c r="P79" s="30">
        <f t="shared" si="28"/>
        <v>4.8581704920464244</v>
      </c>
      <c r="Q79" s="27">
        <v>0.2422</v>
      </c>
      <c r="R79" s="6">
        <v>0.4098</v>
      </c>
      <c r="S79" s="27">
        <v>3741</v>
      </c>
      <c r="T79" s="6">
        <v>132651</v>
      </c>
      <c r="U79" s="27" t="e">
        <f t="shared" si="29"/>
        <v>#DIV/0!</v>
      </c>
      <c r="AC79" s="2" t="e">
        <f t="shared" si="23"/>
        <v>#DIV/0!</v>
      </c>
      <c r="AD79" s="2" t="e">
        <f t="shared" si="23"/>
        <v>#DIV/0!</v>
      </c>
      <c r="AE79" s="2" t="e">
        <f t="shared" si="23"/>
        <v>#DIV/0!</v>
      </c>
      <c r="AF79" s="2" t="e">
        <f t="shared" si="23"/>
        <v>#DIV/0!</v>
      </c>
      <c r="AG79" s="2" t="e">
        <f t="shared" si="23"/>
        <v>#DIV/0!</v>
      </c>
      <c r="AH79" s="2" t="e">
        <f t="shared" si="23"/>
        <v>#DIV/0!</v>
      </c>
      <c r="AI79" s="2" t="e">
        <f t="shared" si="23"/>
        <v>#DIV/0!</v>
      </c>
      <c r="AJ79" s="2" t="e">
        <f t="shared" si="23"/>
        <v>#DIV/0!</v>
      </c>
      <c r="AK79" s="2" t="e">
        <f t="shared" si="23"/>
        <v>#DIV/0!</v>
      </c>
      <c r="AL79" s="2" t="e">
        <f t="shared" si="23"/>
        <v>#DIV/0!</v>
      </c>
      <c r="AM79" s="2" t="e">
        <f t="shared" si="23"/>
        <v>#DIV/0!</v>
      </c>
      <c r="AN79" s="2" t="e">
        <f t="shared" si="23"/>
        <v>#DIV/0!</v>
      </c>
      <c r="AO79" s="2" t="e">
        <f t="shared" si="23"/>
        <v>#DIV/0!</v>
      </c>
      <c r="AP79" s="2" t="e">
        <f t="shared" si="23"/>
        <v>#DIV/0!</v>
      </c>
      <c r="AQ79" s="2" t="e">
        <f t="shared" si="23"/>
        <v>#DIV/0!</v>
      </c>
      <c r="AR79" s="2" t="e">
        <f t="shared" si="23"/>
        <v>#DIV/0!</v>
      </c>
    </row>
    <row r="80" spans="1:44">
      <c r="B80" s="6" t="s">
        <v>88</v>
      </c>
      <c r="C80" s="35" t="e">
        <f t="shared" si="24"/>
        <v>#DIV/0!</v>
      </c>
      <c r="D80" s="6" t="s">
        <v>89</v>
      </c>
      <c r="E80" s="18">
        <v>92.141000000000005</v>
      </c>
      <c r="F80" s="18">
        <v>231.13</v>
      </c>
      <c r="G80" s="6">
        <v>1.0029999999999999</v>
      </c>
      <c r="H80" s="20">
        <v>-138.97999999999999</v>
      </c>
      <c r="I80" s="20">
        <v>595.5</v>
      </c>
      <c r="J80" s="20">
        <v>605.57000000000005</v>
      </c>
      <c r="K80" s="19">
        <v>0.90300000000000002</v>
      </c>
      <c r="L80" s="19">
        <v>0.87190000000000001</v>
      </c>
      <c r="M80" s="18">
        <f t="shared" si="25"/>
        <v>7.2690302999999998</v>
      </c>
      <c r="N80" s="18">
        <f t="shared" si="27"/>
        <v>12.675831052733404</v>
      </c>
      <c r="O80" s="30">
        <v>3.1812</v>
      </c>
      <c r="P80" s="30">
        <f t="shared" si="28"/>
        <v>4.118571608198164</v>
      </c>
      <c r="Q80" s="27">
        <v>0.25979999999999998</v>
      </c>
      <c r="R80" s="6">
        <v>0.40089999999999998</v>
      </c>
      <c r="S80" s="27">
        <v>4475</v>
      </c>
      <c r="T80" s="6">
        <v>132659</v>
      </c>
      <c r="U80" s="27" t="e">
        <f t="shared" si="29"/>
        <v>#DIV/0!</v>
      </c>
      <c r="AC80" s="2" t="e">
        <f t="shared" si="23"/>
        <v>#DIV/0!</v>
      </c>
      <c r="AD80" s="2" t="e">
        <f t="shared" si="23"/>
        <v>#DIV/0!</v>
      </c>
      <c r="AE80" s="2" t="e">
        <f t="shared" si="23"/>
        <v>#DIV/0!</v>
      </c>
      <c r="AF80" s="2" t="e">
        <f t="shared" si="23"/>
        <v>#DIV/0!</v>
      </c>
      <c r="AG80" s="2" t="e">
        <f t="shared" si="23"/>
        <v>#DIV/0!</v>
      </c>
      <c r="AH80" s="2" t="e">
        <f t="shared" si="23"/>
        <v>#DIV/0!</v>
      </c>
      <c r="AI80" s="2" t="e">
        <f t="shared" si="23"/>
        <v>#DIV/0!</v>
      </c>
      <c r="AJ80" s="2" t="e">
        <f t="shared" si="23"/>
        <v>#DIV/0!</v>
      </c>
      <c r="AK80" s="2" t="e">
        <f t="shared" si="23"/>
        <v>#DIV/0!</v>
      </c>
      <c r="AL80" s="2" t="e">
        <f t="shared" si="23"/>
        <v>#DIV/0!</v>
      </c>
      <c r="AM80" s="2" t="e">
        <f t="shared" si="23"/>
        <v>#DIV/0!</v>
      </c>
      <c r="AN80" s="2" t="e">
        <f t="shared" si="23"/>
        <v>#DIV/0!</v>
      </c>
      <c r="AO80" s="2" t="e">
        <f t="shared" si="23"/>
        <v>#DIV/0!</v>
      </c>
      <c r="AP80" s="2" t="e">
        <f t="shared" si="23"/>
        <v>#DIV/0!</v>
      </c>
      <c r="AQ80" s="2" t="e">
        <f t="shared" si="23"/>
        <v>#DIV/0!</v>
      </c>
      <c r="AR80" s="2" t="e">
        <f t="shared" si="23"/>
        <v>#DIV/0!</v>
      </c>
    </row>
    <row r="81" spans="2:44">
      <c r="B81" s="6" t="s">
        <v>90</v>
      </c>
      <c r="C81" s="35" t="e">
        <f t="shared" si="24"/>
        <v>#DIV/0!</v>
      </c>
      <c r="D81" s="6" t="s">
        <v>91</v>
      </c>
      <c r="E81" s="18">
        <v>106.16800000000001</v>
      </c>
      <c r="F81" s="18">
        <v>277.16000000000003</v>
      </c>
      <c r="G81" s="6">
        <v>0.37159999999999999</v>
      </c>
      <c r="H81" s="20">
        <v>-138.96</v>
      </c>
      <c r="I81" s="20">
        <v>523.4</v>
      </c>
      <c r="J81" s="20">
        <v>651.29</v>
      </c>
      <c r="K81" s="19"/>
      <c r="L81" s="19">
        <v>0.87170000000000003</v>
      </c>
      <c r="M81" s="18">
        <f t="shared" si="25"/>
        <v>7.2673629000000002</v>
      </c>
      <c r="N81" s="18">
        <f t="shared" si="27"/>
        <v>14.608875524848223</v>
      </c>
      <c r="O81" s="30">
        <v>3.6655000000000002</v>
      </c>
      <c r="P81" s="30">
        <f t="shared" si="28"/>
        <v>3.5744100395580412</v>
      </c>
      <c r="Q81" s="27">
        <v>0.27950000000000003</v>
      </c>
      <c r="R81" s="6">
        <v>0.4113</v>
      </c>
      <c r="S81" s="27">
        <v>5222</v>
      </c>
      <c r="T81" s="6">
        <v>134381</v>
      </c>
      <c r="U81" s="27" t="e">
        <f t="shared" si="29"/>
        <v>#DIV/0!</v>
      </c>
      <c r="AC81" s="2" t="e">
        <f t="shared" si="23"/>
        <v>#DIV/0!</v>
      </c>
      <c r="AD81" s="2" t="e">
        <f t="shared" si="23"/>
        <v>#DIV/0!</v>
      </c>
      <c r="AE81" s="2" t="e">
        <f t="shared" si="23"/>
        <v>#DIV/0!</v>
      </c>
      <c r="AF81" s="2" t="e">
        <f t="shared" si="23"/>
        <v>#DIV/0!</v>
      </c>
      <c r="AG81" s="2" t="e">
        <f t="shared" si="23"/>
        <v>#DIV/0!</v>
      </c>
      <c r="AH81" s="2" t="e">
        <f t="shared" si="23"/>
        <v>#DIV/0!</v>
      </c>
      <c r="AI81" s="2" t="e">
        <f t="shared" si="23"/>
        <v>#DIV/0!</v>
      </c>
      <c r="AJ81" s="2" t="e">
        <f t="shared" si="23"/>
        <v>#DIV/0!</v>
      </c>
      <c r="AK81" s="2" t="e">
        <f t="shared" si="23"/>
        <v>#DIV/0!</v>
      </c>
      <c r="AL81" s="2" t="e">
        <f t="shared" si="23"/>
        <v>#DIV/0!</v>
      </c>
      <c r="AM81" s="2" t="e">
        <f t="shared" si="23"/>
        <v>#DIV/0!</v>
      </c>
      <c r="AN81" s="2" t="e">
        <f t="shared" si="23"/>
        <v>#DIV/0!</v>
      </c>
      <c r="AO81" s="2" t="e">
        <f t="shared" si="23"/>
        <v>#DIV/0!</v>
      </c>
      <c r="AP81" s="2" t="e">
        <f t="shared" si="23"/>
        <v>#DIV/0!</v>
      </c>
      <c r="AQ81" s="2" t="e">
        <f t="shared" si="23"/>
        <v>#DIV/0!</v>
      </c>
      <c r="AR81" s="2" t="e">
        <f t="shared" si="23"/>
        <v>#DIV/0!</v>
      </c>
    </row>
    <row r="82" spans="2:44">
      <c r="B82" s="6" t="s">
        <v>92</v>
      </c>
      <c r="C82" s="35" t="e">
        <f t="shared" si="24"/>
        <v>#DIV/0!</v>
      </c>
      <c r="D82" s="6" t="s">
        <v>93</v>
      </c>
      <c r="E82" s="18">
        <v>106.16800000000001</v>
      </c>
      <c r="F82" s="18">
        <v>291.97000000000003</v>
      </c>
      <c r="G82" s="6">
        <v>0.26429999999999998</v>
      </c>
      <c r="H82" s="20">
        <v>-13.32</v>
      </c>
      <c r="I82" s="20">
        <v>541.6</v>
      </c>
      <c r="J82" s="20">
        <v>674.92</v>
      </c>
      <c r="K82" s="19"/>
      <c r="L82" s="19">
        <v>0.88470000000000004</v>
      </c>
      <c r="M82" s="18">
        <f t="shared" si="25"/>
        <v>7.3757438999999998</v>
      </c>
      <c r="N82" s="18">
        <f t="shared" si="27"/>
        <v>14.394209104792807</v>
      </c>
      <c r="O82" s="30">
        <v>3.6655000000000002</v>
      </c>
      <c r="P82" s="30">
        <f t="shared" si="28"/>
        <v>3.5744100395580412</v>
      </c>
      <c r="Q82" s="27">
        <v>0.29139999999999999</v>
      </c>
      <c r="R82" s="6">
        <v>0.41610000000000003</v>
      </c>
      <c r="S82" s="27">
        <v>5209</v>
      </c>
      <c r="T82" s="6">
        <v>136036</v>
      </c>
      <c r="U82" s="27" t="e">
        <f t="shared" si="29"/>
        <v>#DIV/0!</v>
      </c>
      <c r="AC82" s="2" t="e">
        <f t="shared" si="23"/>
        <v>#DIV/0!</v>
      </c>
      <c r="AD82" s="2" t="e">
        <f t="shared" si="23"/>
        <v>#DIV/0!</v>
      </c>
      <c r="AE82" s="2" t="e">
        <f t="shared" si="23"/>
        <v>#DIV/0!</v>
      </c>
      <c r="AF82" s="2" t="e">
        <f t="shared" si="23"/>
        <v>#DIV/0!</v>
      </c>
      <c r="AG82" s="2" t="e">
        <f t="shared" si="23"/>
        <v>#DIV/0!</v>
      </c>
      <c r="AH82" s="2" t="e">
        <f t="shared" si="23"/>
        <v>#DIV/0!</v>
      </c>
      <c r="AI82" s="2" t="e">
        <f t="shared" si="23"/>
        <v>#DIV/0!</v>
      </c>
      <c r="AJ82" s="2" t="e">
        <f t="shared" si="23"/>
        <v>#DIV/0!</v>
      </c>
      <c r="AK82" s="2" t="e">
        <f t="shared" si="23"/>
        <v>#DIV/0!</v>
      </c>
      <c r="AL82" s="2" t="e">
        <f t="shared" si="23"/>
        <v>#DIV/0!</v>
      </c>
      <c r="AM82" s="2" t="e">
        <f t="shared" si="23"/>
        <v>#DIV/0!</v>
      </c>
      <c r="AN82" s="2" t="e">
        <f t="shared" si="23"/>
        <v>#DIV/0!</v>
      </c>
      <c r="AO82" s="2" t="e">
        <f t="shared" si="23"/>
        <v>#DIV/0!</v>
      </c>
      <c r="AP82" s="2" t="e">
        <f t="shared" si="23"/>
        <v>#DIV/0!</v>
      </c>
      <c r="AQ82" s="2" t="e">
        <f t="shared" si="23"/>
        <v>#DIV/0!</v>
      </c>
      <c r="AR82" s="2" t="e">
        <f t="shared" si="23"/>
        <v>#DIV/0!</v>
      </c>
    </row>
    <row r="83" spans="2:44">
      <c r="B83" s="6" t="s">
        <v>1</v>
      </c>
      <c r="C83" s="35" t="e">
        <f t="shared" si="24"/>
        <v>#DIV/0!</v>
      </c>
      <c r="D83" s="6" t="s">
        <v>94</v>
      </c>
      <c r="E83" s="18">
        <v>18.015000000000001</v>
      </c>
      <c r="F83" s="18">
        <v>212</v>
      </c>
      <c r="G83" s="6">
        <v>0.94950000000000001</v>
      </c>
      <c r="H83" s="20">
        <v>32</v>
      </c>
      <c r="I83" s="20">
        <v>3207.9</v>
      </c>
      <c r="J83" s="20">
        <v>705.5</v>
      </c>
      <c r="K83" s="19">
        <v>0.34339999999999998</v>
      </c>
      <c r="L83" s="19">
        <v>1</v>
      </c>
      <c r="M83" s="18">
        <v>8.3369999999999997</v>
      </c>
      <c r="N83" s="18">
        <f t="shared" si="27"/>
        <v>2.1608492263404102</v>
      </c>
      <c r="O83" s="30">
        <v>21.06</v>
      </c>
      <c r="P83" s="30">
        <f t="shared" si="28"/>
        <v>0.62212725546058889</v>
      </c>
      <c r="Q83" s="27">
        <v>0.44469999999999998</v>
      </c>
      <c r="R83" s="6">
        <v>1.0009999999999999</v>
      </c>
      <c r="S83" s="27">
        <v>49</v>
      </c>
      <c r="T83" s="6">
        <v>0</v>
      </c>
      <c r="U83" s="27"/>
      <c r="AC83" s="2" t="e">
        <f t="shared" si="23"/>
        <v>#DIV/0!</v>
      </c>
      <c r="AD83" s="2" t="e">
        <f t="shared" si="23"/>
        <v>#DIV/0!</v>
      </c>
      <c r="AE83" s="2" t="e">
        <f t="shared" si="23"/>
        <v>#DIV/0!</v>
      </c>
      <c r="AF83" s="2" t="e">
        <f t="shared" si="23"/>
        <v>#DIV/0!</v>
      </c>
      <c r="AG83" s="2" t="e">
        <f t="shared" si="23"/>
        <v>#DIV/0!</v>
      </c>
      <c r="AH83" s="2" t="e">
        <f t="shared" si="23"/>
        <v>#DIV/0!</v>
      </c>
      <c r="AI83" s="2" t="e">
        <f t="shared" si="23"/>
        <v>#DIV/0!</v>
      </c>
      <c r="AJ83" s="2" t="e">
        <f t="shared" si="23"/>
        <v>#DIV/0!</v>
      </c>
      <c r="AK83" s="2" t="e">
        <f t="shared" si="23"/>
        <v>#DIV/0!</v>
      </c>
      <c r="AL83" s="2" t="e">
        <f t="shared" si="23"/>
        <v>#DIV/0!</v>
      </c>
      <c r="AM83" s="2" t="e">
        <f t="shared" si="23"/>
        <v>#DIV/0!</v>
      </c>
      <c r="AN83" s="2" t="e">
        <f t="shared" si="23"/>
        <v>#DIV/0!</v>
      </c>
      <c r="AO83" s="2" t="e">
        <f t="shared" si="23"/>
        <v>#DIV/0!</v>
      </c>
      <c r="AP83" s="2" t="e">
        <f t="shared" si="23"/>
        <v>#DIV/0!</v>
      </c>
      <c r="AQ83" s="2" t="e">
        <f t="shared" si="23"/>
        <v>#DIV/0!</v>
      </c>
      <c r="AR83" s="2" t="e">
        <f t="shared" ref="AR83" si="30">T83*$C83</f>
        <v>#DIV/0!</v>
      </c>
    </row>
    <row r="84" spans="2:44">
      <c r="B84" s="6" t="s">
        <v>95</v>
      </c>
      <c r="C84" s="35" t="e">
        <f>SUM(C68:C83)</f>
        <v>#DIV/0!</v>
      </c>
      <c r="D84" s="6"/>
      <c r="E84" s="18" t="e">
        <f>AC84</f>
        <v>#DIV/0!</v>
      </c>
      <c r="F84" s="18" t="e">
        <f t="shared" ref="F84:T84" si="31">AD84</f>
        <v>#DIV/0!</v>
      </c>
      <c r="G84" s="18" t="e">
        <f t="shared" si="31"/>
        <v>#DIV/0!</v>
      </c>
      <c r="H84" s="18" t="e">
        <f t="shared" si="31"/>
        <v>#DIV/0!</v>
      </c>
      <c r="I84" s="18" t="e">
        <f t="shared" si="31"/>
        <v>#DIV/0!</v>
      </c>
      <c r="J84" s="18" t="e">
        <f t="shared" si="31"/>
        <v>#DIV/0!</v>
      </c>
      <c r="K84" s="18" t="e">
        <f t="shared" si="31"/>
        <v>#DIV/0!</v>
      </c>
      <c r="L84" s="18" t="e">
        <f t="shared" si="31"/>
        <v>#DIV/0!</v>
      </c>
      <c r="M84" s="18" t="e">
        <f t="shared" si="31"/>
        <v>#DIV/0!</v>
      </c>
      <c r="N84" s="18" t="e">
        <f t="shared" si="31"/>
        <v>#DIV/0!</v>
      </c>
      <c r="O84" s="28" t="e">
        <f t="shared" si="31"/>
        <v>#DIV/0!</v>
      </c>
      <c r="P84" s="28" t="e">
        <f t="shared" si="31"/>
        <v>#DIV/0!</v>
      </c>
      <c r="Q84" s="28" t="e">
        <f t="shared" si="31"/>
        <v>#DIV/0!</v>
      </c>
      <c r="R84" s="18" t="e">
        <f t="shared" si="31"/>
        <v>#DIV/0!</v>
      </c>
      <c r="S84" s="28" t="e">
        <f t="shared" si="31"/>
        <v>#DIV/0!</v>
      </c>
      <c r="T84" s="18" t="e">
        <f t="shared" si="31"/>
        <v>#DIV/0!</v>
      </c>
      <c r="U84" s="28" t="e">
        <f>SUM(U72:U82)</f>
        <v>#DIV/0!</v>
      </c>
      <c r="V84" s="11"/>
      <c r="W84" s="11"/>
      <c r="X84" s="11"/>
      <c r="Y84" s="11"/>
      <c r="Z84" s="11"/>
      <c r="AA84" s="11"/>
      <c r="AC84" s="2" t="e">
        <f>SUM(AC68:AC83)</f>
        <v>#DIV/0!</v>
      </c>
      <c r="AD84" s="2" t="e">
        <f t="shared" ref="AD84:AR84" si="32">SUM(AD68:AD83)</f>
        <v>#DIV/0!</v>
      </c>
      <c r="AE84" s="2" t="e">
        <f t="shared" si="32"/>
        <v>#DIV/0!</v>
      </c>
      <c r="AF84" s="2" t="e">
        <f t="shared" si="32"/>
        <v>#DIV/0!</v>
      </c>
      <c r="AG84" s="2" t="e">
        <f t="shared" si="32"/>
        <v>#DIV/0!</v>
      </c>
      <c r="AH84" s="2" t="e">
        <f t="shared" si="32"/>
        <v>#DIV/0!</v>
      </c>
      <c r="AI84" s="2" t="e">
        <f t="shared" si="32"/>
        <v>#DIV/0!</v>
      </c>
      <c r="AJ84" s="2" t="e">
        <f t="shared" si="32"/>
        <v>#DIV/0!</v>
      </c>
      <c r="AK84" s="2" t="e">
        <f t="shared" si="32"/>
        <v>#DIV/0!</v>
      </c>
      <c r="AL84" s="2" t="e">
        <f t="shared" si="32"/>
        <v>#DIV/0!</v>
      </c>
      <c r="AM84" s="2" t="e">
        <f t="shared" si="32"/>
        <v>#DIV/0!</v>
      </c>
      <c r="AN84" s="2" t="e">
        <f t="shared" si="32"/>
        <v>#DIV/0!</v>
      </c>
      <c r="AO84" s="2" t="e">
        <f t="shared" si="32"/>
        <v>#DIV/0!</v>
      </c>
      <c r="AP84" s="2" t="e">
        <f t="shared" si="32"/>
        <v>#DIV/0!</v>
      </c>
      <c r="AQ84" s="2" t="e">
        <f t="shared" si="32"/>
        <v>#DIV/0!</v>
      </c>
      <c r="AR84" s="2" t="e">
        <f t="shared" si="32"/>
        <v>#DIV/0!</v>
      </c>
    </row>
  </sheetData>
  <mergeCells count="6">
    <mergeCell ref="L2:N2"/>
    <mergeCell ref="O2:P2"/>
    <mergeCell ref="L45:N45"/>
    <mergeCell ref="O45:P45"/>
    <mergeCell ref="L66:N66"/>
    <mergeCell ref="O66:P6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1F3A0-7192-4954-B60D-FC8D417CBEA1}">
  <sheetPr codeName="Sheet11">
    <tabColor theme="8" tint="-0.499984740745262"/>
  </sheetPr>
  <dimension ref="A1:BE89"/>
  <sheetViews>
    <sheetView zoomScaleNormal="100" workbookViewId="0"/>
  </sheetViews>
  <sheetFormatPr defaultColWidth="8.85546875" defaultRowHeight="15"/>
  <cols>
    <col min="1" max="1" width="8.85546875" style="2"/>
    <col min="2" max="2" width="18.7109375" style="2" customWidth="1"/>
    <col min="3" max="3" width="10.28515625" style="2" customWidth="1"/>
    <col min="4" max="7" width="8.85546875" style="2"/>
    <col min="8" max="8" width="9.42578125" style="2" customWidth="1"/>
    <col min="9" max="13" width="8.85546875" style="2"/>
    <col min="14" max="14" width="10" style="11" customWidth="1"/>
    <col min="15" max="16" width="8.85546875" style="16"/>
    <col min="17" max="21" width="8.85546875" style="2"/>
    <col min="22" max="24" width="12" style="2" hidden="1" customWidth="1"/>
    <col min="25" max="25" width="12" style="2" bestFit="1" customWidth="1"/>
    <col min="26" max="28" width="8.85546875" style="2"/>
    <col min="29" max="32" width="12" style="2" bestFit="1" customWidth="1"/>
    <col min="33" max="33" width="13.5703125" style="2" customWidth="1"/>
    <col min="34" max="35" width="8.85546875" style="2"/>
    <col min="36" max="36" width="12.5703125" style="2" bestFit="1" customWidth="1"/>
    <col min="37" max="37" width="8.85546875" style="2"/>
    <col min="38" max="38" width="12" style="2" bestFit="1" customWidth="1"/>
    <col min="39" max="51" width="8.85546875" style="2"/>
    <col min="52" max="52" width="12" style="2" bestFit="1" customWidth="1"/>
    <col min="53" max="56" width="8.85546875" style="2"/>
    <col min="57" max="57" width="12" style="2" bestFit="1" customWidth="1"/>
    <col min="58" max="16384" width="8.85546875" style="2"/>
  </cols>
  <sheetData>
    <row r="1" spans="1:57">
      <c r="Q1" s="16"/>
      <c r="R1" s="16"/>
      <c r="S1" s="16"/>
      <c r="T1" s="16"/>
      <c r="U1" s="16"/>
      <c r="V1" s="16"/>
      <c r="W1" s="16"/>
    </row>
    <row r="2" spans="1:57" ht="15.75">
      <c r="D2" s="2" t="s">
        <v>491</v>
      </c>
      <c r="E2" s="240">
        <f>Drawing!R35</f>
        <v>87.458333333333329</v>
      </c>
      <c r="F2" s="239">
        <f>E2+460</f>
        <v>547.45833333333337</v>
      </c>
      <c r="G2" s="52" t="s">
        <v>490</v>
      </c>
      <c r="Q2" s="16"/>
      <c r="R2" s="16"/>
      <c r="S2" s="16"/>
      <c r="T2" s="16"/>
      <c r="U2" s="16"/>
      <c r="V2" s="16"/>
      <c r="W2" s="16"/>
      <c r="Y2" s="207" t="s">
        <v>410</v>
      </c>
      <c r="Z2" s="171" t="s">
        <v>293</v>
      </c>
      <c r="AA2" s="172">
        <f>'Flash B'!mL</f>
        <v>0.97</v>
      </c>
      <c r="AB2" s="175" t="s">
        <v>288</v>
      </c>
      <c r="AC2" s="176"/>
      <c r="AD2" s="223">
        <v>0.9</v>
      </c>
      <c r="AE2" s="177" t="s">
        <v>305</v>
      </c>
      <c r="AF2" s="155">
        <f>(62.4*AD2+0.0136*AD4*AD3)/(0.972+0.000147*(AD4*SQRT(AD3/AD2)+1.25*(F2)^1.175))</f>
        <v>50.90832804297952</v>
      </c>
      <c r="AG2" s="180" t="s">
        <v>312</v>
      </c>
      <c r="AH2" s="181" t="s">
        <v>313</v>
      </c>
      <c r="AI2" s="71">
        <f>AF2/62.4</f>
        <v>0.81583859043236406</v>
      </c>
      <c r="AK2" s="182" t="s">
        <v>307</v>
      </c>
      <c r="AL2" s="150">
        <f>AA3*AC25/AF2/5.615</f>
        <v>5.1457672278125933E-3</v>
      </c>
      <c r="AM2" s="183" t="s">
        <v>310</v>
      </c>
    </row>
    <row r="3" spans="1:57" ht="15.75">
      <c r="D3" s="2" t="s">
        <v>492</v>
      </c>
      <c r="E3" s="196">
        <f>Drawing!Q34</f>
        <v>764.99070994396732</v>
      </c>
      <c r="Q3" s="16"/>
      <c r="R3" s="16"/>
      <c r="S3" s="16"/>
      <c r="T3" s="16"/>
      <c r="U3" s="16"/>
      <c r="V3" s="16"/>
      <c r="W3" s="16"/>
      <c r="Y3" s="206" t="s">
        <v>411</v>
      </c>
      <c r="Z3" s="171" t="s">
        <v>294</v>
      </c>
      <c r="AA3" s="173">
        <f>1-AA2</f>
        <v>3.0000000000000027E-2</v>
      </c>
      <c r="AB3" s="175" t="s">
        <v>289</v>
      </c>
      <c r="AC3" s="155"/>
      <c r="AD3" s="223">
        <v>0.7</v>
      </c>
      <c r="AE3" s="177" t="s">
        <v>306</v>
      </c>
      <c r="AF3" s="155">
        <f>2.7*AD3*Drawing!L34/'Prop Est Flash 2'!K25/(F2)</f>
        <v>0.25920739714956165</v>
      </c>
      <c r="AG3" s="178" t="s">
        <v>312</v>
      </c>
      <c r="AK3" s="182" t="s">
        <v>308</v>
      </c>
      <c r="AL3" s="150">
        <f>K25*AA2*10.73*520/14.7</f>
        <v>366.75790206211764</v>
      </c>
      <c r="AM3" s="183" t="s">
        <v>311</v>
      </c>
    </row>
    <row r="4" spans="1:57">
      <c r="A4" s="13" t="s">
        <v>37</v>
      </c>
      <c r="Q4" s="16"/>
      <c r="R4" s="16"/>
      <c r="S4" s="16"/>
      <c r="T4" s="16"/>
      <c r="U4" s="16"/>
      <c r="V4" s="16"/>
      <c r="W4" s="16"/>
      <c r="AB4" s="175" t="s">
        <v>302</v>
      </c>
      <c r="AC4" s="155"/>
      <c r="AD4" s="224">
        <v>3000</v>
      </c>
      <c r="AE4" s="179" t="s">
        <v>319</v>
      </c>
      <c r="AF4" s="150">
        <f>AF2*AA3+AF3*AA2</f>
        <v>1.7786810165244618</v>
      </c>
      <c r="AG4" s="178" t="s">
        <v>312</v>
      </c>
      <c r="AK4" s="184" t="s">
        <v>309</v>
      </c>
      <c r="AL4" s="150">
        <f>AL3/AL2</f>
        <v>71273.70629588743</v>
      </c>
      <c r="AM4" s="183" t="s">
        <v>323</v>
      </c>
      <c r="AO4" s="61"/>
      <c r="AP4" s="150"/>
      <c r="AQ4" s="150"/>
      <c r="AR4" s="150"/>
      <c r="AS4" s="150"/>
      <c r="AT4" s="150"/>
      <c r="AU4" s="150" t="s">
        <v>298</v>
      </c>
      <c r="AV4" s="150"/>
      <c r="AW4" s="150"/>
      <c r="AX4" s="150"/>
      <c r="AY4" s="150"/>
      <c r="AZ4" s="150"/>
      <c r="BA4" s="150"/>
      <c r="BB4" s="150"/>
      <c r="BC4" s="150"/>
      <c r="BD4" s="71"/>
    </row>
    <row r="5" spans="1:57">
      <c r="A5" s="13"/>
      <c r="Q5" s="208"/>
      <c r="R5"/>
      <c r="S5"/>
      <c r="T5"/>
      <c r="U5"/>
      <c r="V5" s="209"/>
      <c r="W5" s="32"/>
      <c r="AB5" s="174"/>
      <c r="AC5" s="32"/>
      <c r="AD5" s="32"/>
      <c r="AE5" s="210"/>
      <c r="AG5" s="157"/>
      <c r="AK5" s="184"/>
      <c r="AL5" s="150"/>
      <c r="AM5" s="183"/>
      <c r="AO5" s="140"/>
      <c r="AP5" s="141"/>
      <c r="AQ5" s="141"/>
      <c r="AR5" s="141"/>
      <c r="AS5" s="141"/>
      <c r="AT5" s="141"/>
      <c r="AU5" s="141"/>
      <c r="AV5" s="150"/>
      <c r="AW5" s="150"/>
      <c r="AX5" s="150"/>
      <c r="AY5" s="141"/>
      <c r="AZ5" s="141"/>
      <c r="BA5" s="141"/>
      <c r="BB5" s="141"/>
      <c r="BC5" s="141"/>
      <c r="BD5" s="142"/>
    </row>
    <row r="6" spans="1:57">
      <c r="A6" s="13"/>
      <c r="X6" s="205" t="s">
        <v>474</v>
      </c>
      <c r="Y6" s="42" t="s">
        <v>475</v>
      </c>
      <c r="AB6" s="158"/>
      <c r="AC6" s="32"/>
      <c r="AD6" s="146"/>
      <c r="AI6" s="159"/>
      <c r="AK6" s="179" t="s">
        <v>320</v>
      </c>
      <c r="AL6" s="150">
        <f>BE25</f>
        <v>384.07565607375108</v>
      </c>
      <c r="AM6" s="183" t="s">
        <v>311</v>
      </c>
      <c r="AO6" s="140"/>
      <c r="AP6" s="141"/>
      <c r="AQ6" s="141"/>
      <c r="AR6" s="141"/>
      <c r="AS6" s="141"/>
      <c r="AT6" s="141"/>
      <c r="AU6" s="141"/>
      <c r="AV6" s="150"/>
      <c r="AW6" s="150"/>
      <c r="AX6" s="150"/>
      <c r="AY6" s="141"/>
      <c r="AZ6" s="141"/>
      <c r="BA6" s="141"/>
      <c r="BB6" s="141"/>
      <c r="BC6" s="141"/>
      <c r="BD6" s="142"/>
    </row>
    <row r="7" spans="1:57">
      <c r="C7" s="7" t="s">
        <v>38</v>
      </c>
      <c r="D7" s="7"/>
      <c r="E7" s="7"/>
      <c r="F7" s="7" t="s">
        <v>39</v>
      </c>
      <c r="G7" s="7" t="s">
        <v>40</v>
      </c>
      <c r="H7" s="7" t="s">
        <v>41</v>
      </c>
      <c r="I7" s="7" t="s">
        <v>42</v>
      </c>
      <c r="J7" s="7" t="s">
        <v>43</v>
      </c>
      <c r="K7" s="7"/>
      <c r="L7" s="342" t="s">
        <v>44</v>
      </c>
      <c r="M7" s="343"/>
      <c r="N7" s="344"/>
      <c r="O7" s="345" t="s">
        <v>45</v>
      </c>
      <c r="P7" s="346"/>
      <c r="Q7" s="7" t="s">
        <v>46</v>
      </c>
      <c r="R7" s="7" t="s">
        <v>47</v>
      </c>
      <c r="S7" s="7" t="s">
        <v>48</v>
      </c>
      <c r="T7" s="7" t="s">
        <v>49</v>
      </c>
      <c r="U7" s="7" t="s">
        <v>50</v>
      </c>
      <c r="V7" s="7"/>
      <c r="W7" s="7"/>
      <c r="X7" s="7"/>
      <c r="Y7" s="141"/>
      <c r="Z7" s="7"/>
      <c r="AA7" s="141"/>
      <c r="AB7" s="7"/>
      <c r="AC7" s="160" t="s">
        <v>300</v>
      </c>
      <c r="AD7" s="168" t="s">
        <v>301</v>
      </c>
      <c r="AE7" s="6" t="s">
        <v>314</v>
      </c>
      <c r="AF7" s="6" t="s">
        <v>316</v>
      </c>
      <c r="AO7" s="7"/>
      <c r="AP7" s="7" t="s">
        <v>39</v>
      </c>
      <c r="AQ7" s="7" t="s">
        <v>40</v>
      </c>
      <c r="AR7" s="7" t="s">
        <v>39</v>
      </c>
      <c r="AS7" s="7" t="s">
        <v>40</v>
      </c>
      <c r="AT7" s="7" t="s">
        <v>43</v>
      </c>
      <c r="AU7" s="7"/>
      <c r="AV7" s="61" t="s">
        <v>297</v>
      </c>
      <c r="AW7" s="155"/>
      <c r="AX7" s="156"/>
      <c r="AY7" s="143" t="s">
        <v>45</v>
      </c>
      <c r="AZ7" s="144"/>
      <c r="BA7" s="7" t="s">
        <v>46</v>
      </c>
      <c r="BB7" s="7" t="s">
        <v>47</v>
      </c>
      <c r="BC7" s="7" t="s">
        <v>48</v>
      </c>
      <c r="BD7" s="7" t="s">
        <v>49</v>
      </c>
      <c r="BE7" s="7" t="s">
        <v>318</v>
      </c>
    </row>
    <row r="8" spans="1:57" ht="15.75">
      <c r="C8" s="8" t="s">
        <v>51</v>
      </c>
      <c r="D8" s="8" t="s">
        <v>52</v>
      </c>
      <c r="E8" s="8" t="s">
        <v>53</v>
      </c>
      <c r="F8" s="17" t="s">
        <v>54</v>
      </c>
      <c r="G8" s="17" t="s">
        <v>55</v>
      </c>
      <c r="H8" s="8" t="s">
        <v>56</v>
      </c>
      <c r="I8" s="8" t="s">
        <v>57</v>
      </c>
      <c r="J8" s="8" t="s">
        <v>58</v>
      </c>
      <c r="K8" s="8" t="s">
        <v>59</v>
      </c>
      <c r="L8" s="6" t="s">
        <v>60</v>
      </c>
      <c r="M8" s="6" t="s">
        <v>61</v>
      </c>
      <c r="N8" s="18" t="s">
        <v>62</v>
      </c>
      <c r="O8" s="19" t="s">
        <v>60</v>
      </c>
      <c r="P8" s="19" t="s">
        <v>63</v>
      </c>
      <c r="Q8" s="8" t="s">
        <v>64</v>
      </c>
      <c r="R8" s="8" t="s">
        <v>64</v>
      </c>
      <c r="S8" s="8" t="s">
        <v>65</v>
      </c>
      <c r="T8" s="8" t="s">
        <v>66</v>
      </c>
      <c r="U8" s="8" t="s">
        <v>67</v>
      </c>
      <c r="V8" s="151" t="s">
        <v>290</v>
      </c>
      <c r="W8" s="151" t="s">
        <v>291</v>
      </c>
      <c r="X8" s="8" t="s">
        <v>58</v>
      </c>
      <c r="Y8" s="161" t="s">
        <v>292</v>
      </c>
      <c r="Z8" s="166" t="s">
        <v>299</v>
      </c>
      <c r="AA8" s="161" t="s">
        <v>295</v>
      </c>
      <c r="AB8" s="167" t="s">
        <v>296</v>
      </c>
      <c r="AC8" s="162" t="s">
        <v>303</v>
      </c>
      <c r="AD8" s="169" t="s">
        <v>304</v>
      </c>
      <c r="AE8" s="6" t="s">
        <v>315</v>
      </c>
      <c r="AF8" s="6" t="s">
        <v>311</v>
      </c>
      <c r="AO8" s="8" t="s">
        <v>53</v>
      </c>
      <c r="AP8" s="17" t="s">
        <v>54</v>
      </c>
      <c r="AQ8" s="17" t="s">
        <v>55</v>
      </c>
      <c r="AR8" s="17" t="s">
        <v>54</v>
      </c>
      <c r="AS8" s="17" t="s">
        <v>55</v>
      </c>
      <c r="AT8" s="8" t="s">
        <v>58</v>
      </c>
      <c r="AU8" s="8" t="s">
        <v>59</v>
      </c>
      <c r="AV8" s="6" t="s">
        <v>60</v>
      </c>
      <c r="AW8" s="6" t="s">
        <v>61</v>
      </c>
      <c r="AX8" s="18" t="s">
        <v>62</v>
      </c>
      <c r="AY8" s="19" t="s">
        <v>60</v>
      </c>
      <c r="AZ8" s="19" t="s">
        <v>63</v>
      </c>
      <c r="BA8" s="8" t="s">
        <v>64</v>
      </c>
      <c r="BB8" s="8" t="s">
        <v>64</v>
      </c>
      <c r="BC8" s="8" t="s">
        <v>65</v>
      </c>
      <c r="BD8" s="8" t="s">
        <v>66</v>
      </c>
      <c r="BE8" s="8"/>
    </row>
    <row r="9" spans="1:57">
      <c r="B9" s="6" t="s">
        <v>68</v>
      </c>
      <c r="C9" s="35">
        <f>'Flash B'!E14</f>
        <v>1.2006822170246531E-2</v>
      </c>
      <c r="D9" s="6" t="s">
        <v>4</v>
      </c>
      <c r="E9" s="18">
        <v>28.013000000000002</v>
      </c>
      <c r="F9" s="18">
        <v>-297.33199999999999</v>
      </c>
      <c r="G9" s="6"/>
      <c r="H9" s="20">
        <v>-346</v>
      </c>
      <c r="I9" s="20">
        <v>493</v>
      </c>
      <c r="J9" s="20">
        <v>-232.7</v>
      </c>
      <c r="K9" s="19">
        <v>0.99997000000000003</v>
      </c>
      <c r="L9" s="19">
        <v>0.80940000000000001</v>
      </c>
      <c r="M9" s="18">
        <f>L9*$M$24</f>
        <v>6.7479677999999996</v>
      </c>
      <c r="N9" s="18">
        <f t="shared" ref="N9:N11" si="0">E9/M9</f>
        <v>4.1513238993226977</v>
      </c>
      <c r="O9" s="19">
        <v>0.55400000000000005</v>
      </c>
      <c r="P9" s="19">
        <f>13.102/O9</f>
        <v>23.649819494584836</v>
      </c>
      <c r="Q9" s="6">
        <v>0.24840000000000001</v>
      </c>
      <c r="R9" s="6"/>
      <c r="S9" s="6"/>
      <c r="T9" s="6"/>
      <c r="U9" s="6"/>
      <c r="V9" s="42">
        <v>470</v>
      </c>
      <c r="W9" s="163">
        <v>109</v>
      </c>
      <c r="X9" s="42">
        <f>V9*(1/W9-1/($E$2+460))</f>
        <v>3.4534137810887264</v>
      </c>
      <c r="Y9" s="42">
        <f>'Flash B'!L66</f>
        <v>16.837761511156856</v>
      </c>
      <c r="Z9" s="164">
        <f>'Flash B'!F14</f>
        <v>1.1621677049754192E-2</v>
      </c>
      <c r="AA9" s="164">
        <f>'Flash B'!I14</f>
        <v>7.337954319849647E-4</v>
      </c>
      <c r="AB9" s="164">
        <f>'Flash B'!J14</f>
        <v>1.2355472481739157E-2</v>
      </c>
      <c r="AC9" s="19">
        <f>AA9*E9</f>
        <v>2.0555811436194817E-2</v>
      </c>
      <c r="AD9" s="19">
        <f>AB9*E9</f>
        <v>0.34611385063095901</v>
      </c>
      <c r="AE9" s="6">
        <f>AA9*$AL$2</f>
        <v>3.7759404858268163E-6</v>
      </c>
      <c r="AF9" s="6">
        <f>AB9*$AL$3</f>
        <v>4.5314671663888788</v>
      </c>
      <c r="AG9" s="6">
        <f>C9*$AL$6</f>
        <v>4.6115281023982959</v>
      </c>
      <c r="AO9" s="6">
        <f t="shared" ref="AO9:AO24" si="1">E9*$C9</f>
        <v>0.33634710945511609</v>
      </c>
      <c r="AP9" s="6">
        <f t="shared" ref="AP9:AP24" si="2">F9*$C9</f>
        <v>-3.5700124495237415</v>
      </c>
      <c r="AQ9" s="6">
        <f t="shared" ref="AQ9:AQ24" si="3">G9*$C9</f>
        <v>0</v>
      </c>
      <c r="AR9" s="6">
        <f t="shared" ref="AR9:AR24" si="4">H9*$C9</f>
        <v>-4.1543604709052993</v>
      </c>
      <c r="AS9" s="6">
        <f t="shared" ref="AS9:AS24" si="5">I9*$C9</f>
        <v>5.9193633299315396</v>
      </c>
      <c r="AT9" s="6">
        <f t="shared" ref="AT9:AT24" si="6">J9*$C9</f>
        <v>-2.7939875190163677</v>
      </c>
      <c r="AU9" s="6">
        <f t="shared" ref="AU9:AU24" si="7">K9*$C9</f>
        <v>1.2006461965581423E-2</v>
      </c>
      <c r="AV9" s="6">
        <f t="shared" ref="AV9:AV24" si="8">L9*$C9</f>
        <v>9.7183218645975414E-3</v>
      </c>
      <c r="AW9" s="6">
        <f t="shared" ref="AW9:AW24" si="9">M9*$C9</f>
        <v>8.1021649385149705E-2</v>
      </c>
      <c r="AX9" s="6">
        <f t="shared" ref="AX9:AX24" si="10">N9*$C9</f>
        <v>4.9844207830262041E-2</v>
      </c>
      <c r="AY9" s="6">
        <f t="shared" ref="AY9:AY24" si="11">O9*$C9</f>
        <v>6.6517794823165782E-3</v>
      </c>
      <c r="AZ9" s="6">
        <f t="shared" ref="AZ9:AZ24" si="12">P9*$C9</f>
        <v>0.2839591770299098</v>
      </c>
      <c r="BA9" s="6">
        <f t="shared" ref="BA9:BA24" si="13">Q9*$C9</f>
        <v>2.9824946270892382E-3</v>
      </c>
      <c r="BB9" s="6">
        <f t="shared" ref="BB9:BB24" si="14">R9*$C9</f>
        <v>0</v>
      </c>
      <c r="BC9" s="6">
        <f t="shared" ref="BC9:BC24" si="15">S9*$C9</f>
        <v>0</v>
      </c>
      <c r="BD9" s="6">
        <f t="shared" ref="BD9:BD24" si="16">T9*$C9</f>
        <v>0</v>
      </c>
      <c r="BE9" s="6">
        <f>AZ9*E9</f>
        <v>7.9545484261388637</v>
      </c>
    </row>
    <row r="10" spans="1:57">
      <c r="B10" s="6" t="s">
        <v>69</v>
      </c>
      <c r="C10" s="35">
        <f>'Flash B'!E15</f>
        <v>5.5631374758952128E-2</v>
      </c>
      <c r="D10" s="6" t="s">
        <v>70</v>
      </c>
      <c r="E10" s="18">
        <v>44.01</v>
      </c>
      <c r="F10" s="18">
        <v>-109.32</v>
      </c>
      <c r="G10" s="6"/>
      <c r="H10" s="20">
        <v>-69.77</v>
      </c>
      <c r="I10" s="20">
        <v>1071</v>
      </c>
      <c r="J10" s="20">
        <v>87.87</v>
      </c>
      <c r="K10" s="19">
        <v>0.99429999999999996</v>
      </c>
      <c r="L10" s="19">
        <v>0.81759999999999999</v>
      </c>
      <c r="M10" s="18">
        <f t="shared" ref="M10:M23" si="17">L10*$M$24</f>
        <v>6.8163311999999996</v>
      </c>
      <c r="N10" s="18">
        <f t="shared" si="0"/>
        <v>6.4565524632957976</v>
      </c>
      <c r="O10" s="19">
        <v>1.53</v>
      </c>
      <c r="P10" s="19">
        <f t="shared" ref="P10:P11" si="18">13.102/O10</f>
        <v>8.5633986928104573</v>
      </c>
      <c r="Q10" s="6">
        <v>0.19900000000000001</v>
      </c>
      <c r="R10" s="6"/>
      <c r="S10" s="6"/>
      <c r="T10" s="6"/>
      <c r="U10" s="6"/>
      <c r="V10" s="42">
        <v>652</v>
      </c>
      <c r="W10" s="163">
        <v>194</v>
      </c>
      <c r="X10" s="42">
        <f t="shared" ref="X10:X24" si="19">V10*(1/W10-1/($E$2+460))</f>
        <v>2.169866526269868</v>
      </c>
      <c r="Y10" s="42">
        <f>'Flash B'!L67</f>
        <v>1.392606709417876</v>
      </c>
      <c r="Z10" s="164">
        <f>'Flash B'!F15</f>
        <v>1.581749714452169E-2</v>
      </c>
      <c r="AA10" s="164">
        <f>'Flash B'!I15</f>
        <v>4.0288402528766087E-2</v>
      </c>
      <c r="AB10" s="164">
        <f>'Flash B'!J15</f>
        <v>5.6105899673287773E-2</v>
      </c>
      <c r="AC10" s="19">
        <f t="shared" ref="AC10:AC24" si="20">AA10*E10</f>
        <v>1.7730925952909955</v>
      </c>
      <c r="AD10" s="19">
        <f t="shared" ref="AD10:AD24" si="21">AB10*E10</f>
        <v>2.4692206446213949</v>
      </c>
      <c r="AE10" s="6">
        <f t="shared" ref="AE10:AE24" si="22">AA10*$AL$2</f>
        <v>2.0731474139344655E-4</v>
      </c>
      <c r="AF10" s="6">
        <f t="shared" ref="AF10:AF24" si="23">AB10*$AL$3</f>
        <v>20.577282057482677</v>
      </c>
      <c r="AG10" s="6">
        <f t="shared" ref="AG10:AG24" si="24">C10*$AL$6</f>
        <v>21.366656758829254</v>
      </c>
      <c r="AO10" s="6">
        <f t="shared" si="1"/>
        <v>2.4483368031414829</v>
      </c>
      <c r="AP10" s="6">
        <f t="shared" si="2"/>
        <v>-6.0816218886486464</v>
      </c>
      <c r="AQ10" s="6">
        <f t="shared" si="3"/>
        <v>0</v>
      </c>
      <c r="AR10" s="6">
        <f t="shared" si="4"/>
        <v>-3.8814010169320898</v>
      </c>
      <c r="AS10" s="6">
        <f t="shared" si="5"/>
        <v>59.581202366837729</v>
      </c>
      <c r="AT10" s="6">
        <f t="shared" si="6"/>
        <v>4.8883289000691237</v>
      </c>
      <c r="AU10" s="6">
        <f t="shared" si="7"/>
        <v>5.5314275922826096E-2</v>
      </c>
      <c r="AV10" s="6">
        <f t="shared" si="8"/>
        <v>4.5484212002919258E-2</v>
      </c>
      <c r="AW10" s="6">
        <f t="shared" si="9"/>
        <v>0.37920187546833783</v>
      </c>
      <c r="AX10" s="6">
        <f t="shared" si="10"/>
        <v>0.35918688973644403</v>
      </c>
      <c r="AY10" s="6">
        <f t="shared" si="11"/>
        <v>8.511600338119675E-2</v>
      </c>
      <c r="AZ10" s="6">
        <f t="shared" si="12"/>
        <v>0.47639364189005934</v>
      </c>
      <c r="BA10" s="6">
        <f t="shared" si="13"/>
        <v>1.1070643577031474E-2</v>
      </c>
      <c r="BB10" s="6">
        <f t="shared" si="14"/>
        <v>0</v>
      </c>
      <c r="BC10" s="6">
        <f t="shared" si="15"/>
        <v>0</v>
      </c>
      <c r="BD10" s="6">
        <f t="shared" si="16"/>
        <v>0</v>
      </c>
      <c r="BE10" s="6">
        <f t="shared" ref="BE10:BE24" si="25">AZ10*E10</f>
        <v>20.966084179581511</v>
      </c>
    </row>
    <row r="11" spans="1:57">
      <c r="B11" s="6" t="s">
        <v>71</v>
      </c>
      <c r="C11" s="35">
        <f>'Flash B'!E16</f>
        <v>1.0007399238816907E-6</v>
      </c>
      <c r="D11" s="6" t="s">
        <v>2</v>
      </c>
      <c r="E11" s="18">
        <v>34.076000000000001</v>
      </c>
      <c r="F11" s="18">
        <v>-76.56</v>
      </c>
      <c r="G11" s="6">
        <v>387.1</v>
      </c>
      <c r="H11" s="20">
        <v>-121.58</v>
      </c>
      <c r="I11" s="20">
        <v>1036</v>
      </c>
      <c r="J11" s="20">
        <v>212.6</v>
      </c>
      <c r="K11" s="19">
        <v>0.99029999999999996</v>
      </c>
      <c r="L11" s="19">
        <v>0.78710000000000002</v>
      </c>
      <c r="M11" s="18">
        <f t="shared" si="17"/>
        <v>6.5620526999999997</v>
      </c>
      <c r="N11" s="18">
        <f t="shared" si="0"/>
        <v>5.1928872805303747</v>
      </c>
      <c r="O11" s="19">
        <v>1.3</v>
      </c>
      <c r="P11" s="19">
        <f t="shared" si="18"/>
        <v>10.078461538461537</v>
      </c>
      <c r="Q11" s="6">
        <v>0.2379</v>
      </c>
      <c r="R11" s="6">
        <v>0.49680000000000002</v>
      </c>
      <c r="S11" s="6">
        <v>637</v>
      </c>
      <c r="T11" s="6"/>
      <c r="U11" s="6"/>
      <c r="V11" s="42">
        <v>1136</v>
      </c>
      <c r="W11" s="163">
        <v>331</v>
      </c>
      <c r="X11" s="42">
        <f t="shared" si="19"/>
        <v>1.356980406340847</v>
      </c>
      <c r="Y11" s="42">
        <f>'Flash B'!L68</f>
        <v>0.34649341341232687</v>
      </c>
      <c r="Z11" s="164">
        <f>'Flash B'!F16</f>
        <v>-1.7863769816382732E-6</v>
      </c>
      <c r="AA11" s="164">
        <f>'Flash B'!I16</f>
        <v>2.733525596070816E-6</v>
      </c>
      <c r="AB11" s="164">
        <f>'Flash B'!J16</f>
        <v>9.4714861443254252E-7</v>
      </c>
      <c r="AC11" s="19">
        <f t="shared" si="20"/>
        <v>9.3147618211709128E-5</v>
      </c>
      <c r="AD11" s="19">
        <f t="shared" si="21"/>
        <v>3.2275036185403319E-5</v>
      </c>
      <c r="AE11" s="6">
        <f t="shared" si="22"/>
        <v>1.406608642864809E-8</v>
      </c>
      <c r="AF11" s="6">
        <f t="shared" si="23"/>
        <v>3.4737423877032086E-4</v>
      </c>
      <c r="AG11" s="6">
        <f t="shared" si="24"/>
        <v>3.8435984282405607E-4</v>
      </c>
      <c r="AO11" s="6">
        <f t="shared" si="1"/>
        <v>3.4101213646192491E-5</v>
      </c>
      <c r="AP11" s="6">
        <f t="shared" si="2"/>
        <v>-7.6616648572382242E-5</v>
      </c>
      <c r="AQ11" s="6">
        <f t="shared" si="3"/>
        <v>3.8738642453460249E-4</v>
      </c>
      <c r="AR11" s="6">
        <f t="shared" si="4"/>
        <v>-1.2166995994553595E-4</v>
      </c>
      <c r="AS11" s="6">
        <f t="shared" si="5"/>
        <v>1.0367665611414314E-3</v>
      </c>
      <c r="AT11" s="6">
        <f t="shared" si="6"/>
        <v>2.1275730781724744E-4</v>
      </c>
      <c r="AU11" s="6">
        <f t="shared" si="7"/>
        <v>9.9103274662003819E-7</v>
      </c>
      <c r="AV11" s="6">
        <f t="shared" si="8"/>
        <v>7.8768239408727878E-7</v>
      </c>
      <c r="AW11" s="6">
        <f t="shared" si="9"/>
        <v>6.5669081195056423E-6</v>
      </c>
      <c r="AX11" s="6">
        <f t="shared" si="10"/>
        <v>5.1967296218441669E-6</v>
      </c>
      <c r="AY11" s="6">
        <f t="shared" si="11"/>
        <v>1.3009619010461979E-6</v>
      </c>
      <c r="AZ11" s="6">
        <f t="shared" si="12"/>
        <v>1.0085918832844546E-5</v>
      </c>
      <c r="BA11" s="6">
        <f t="shared" si="13"/>
        <v>2.380760278914542E-7</v>
      </c>
      <c r="BB11" s="6">
        <f t="shared" si="14"/>
        <v>4.9716759418442391E-7</v>
      </c>
      <c r="BC11" s="6">
        <f t="shared" si="15"/>
        <v>6.3747133151263692E-4</v>
      </c>
      <c r="BD11" s="6">
        <f t="shared" si="16"/>
        <v>0</v>
      </c>
      <c r="BE11" s="6">
        <f t="shared" si="25"/>
        <v>3.4368777014801076E-4</v>
      </c>
    </row>
    <row r="12" spans="1:57">
      <c r="B12" s="6" t="s">
        <v>72</v>
      </c>
      <c r="C12" s="35">
        <f>'Flash B'!E17</f>
        <v>0.74909260871383654</v>
      </c>
      <c r="D12" s="6" t="s">
        <v>73</v>
      </c>
      <c r="E12" s="18">
        <v>16.042999999999999</v>
      </c>
      <c r="F12" s="18">
        <v>-258.7</v>
      </c>
      <c r="G12" s="6">
        <v>5000</v>
      </c>
      <c r="H12" s="20">
        <v>-296.5</v>
      </c>
      <c r="I12" s="20">
        <v>667.8</v>
      </c>
      <c r="J12" s="20">
        <v>-116.68</v>
      </c>
      <c r="K12" s="19">
        <v>0.99809999999999999</v>
      </c>
      <c r="L12" s="19">
        <v>0.3</v>
      </c>
      <c r="M12" s="18">
        <f t="shared" si="17"/>
        <v>2.5010999999999997</v>
      </c>
      <c r="N12" s="18">
        <f>E12/M12</f>
        <v>6.4143776738235179</v>
      </c>
      <c r="O12" s="19">
        <v>0.55389999999999995</v>
      </c>
      <c r="P12" s="19">
        <f>13.102/O12</f>
        <v>23.654089185773607</v>
      </c>
      <c r="Q12" s="6">
        <v>0.52659999999999996</v>
      </c>
      <c r="R12" s="6"/>
      <c r="S12" s="6">
        <v>1009.7</v>
      </c>
      <c r="T12" s="6"/>
      <c r="U12" s="6"/>
      <c r="V12" s="42">
        <v>300</v>
      </c>
      <c r="W12" s="163">
        <v>94</v>
      </c>
      <c r="X12" s="42">
        <f t="shared" si="19"/>
        <v>2.6435024525005142</v>
      </c>
      <c r="Y12" s="42">
        <f>'Flash B'!L69</f>
        <v>6.5984858539303213</v>
      </c>
      <c r="Z12" s="164">
        <f>'Flash B'!F17</f>
        <v>0.65216763462641392</v>
      </c>
      <c r="AA12" s="164">
        <f>'Flash B'!I17</f>
        <v>0.11649000312621506</v>
      </c>
      <c r="AB12" s="164">
        <f>'Flash B'!J17</f>
        <v>0.76865763775262896</v>
      </c>
      <c r="AC12" s="19">
        <f t="shared" si="20"/>
        <v>1.8688491201538682</v>
      </c>
      <c r="AD12" s="19">
        <f t="shared" si="21"/>
        <v>12.331574482465426</v>
      </c>
      <c r="AE12" s="6">
        <f t="shared" si="22"/>
        <v>5.9943044045466403E-4</v>
      </c>
      <c r="AF12" s="6">
        <f t="shared" si="23"/>
        <v>281.9112626261774</v>
      </c>
      <c r="AG12" s="6">
        <f t="shared" si="24"/>
        <v>287.70823515176448</v>
      </c>
      <c r="AO12" s="6">
        <f t="shared" si="1"/>
        <v>12.017692721596079</v>
      </c>
      <c r="AP12" s="6">
        <f t="shared" si="2"/>
        <v>-193.79025787426951</v>
      </c>
      <c r="AQ12" s="6">
        <f t="shared" si="3"/>
        <v>3745.4630435691829</v>
      </c>
      <c r="AR12" s="6">
        <f t="shared" si="4"/>
        <v>-222.10595848365253</v>
      </c>
      <c r="AS12" s="6">
        <f t="shared" si="5"/>
        <v>500.24404409909999</v>
      </c>
      <c r="AT12" s="6">
        <f t="shared" si="6"/>
        <v>-87.404125584730451</v>
      </c>
      <c r="AU12" s="6">
        <f t="shared" si="7"/>
        <v>0.7476693327572802</v>
      </c>
      <c r="AV12" s="6">
        <f t="shared" si="8"/>
        <v>0.22472778261415097</v>
      </c>
      <c r="AW12" s="6">
        <f t="shared" si="9"/>
        <v>1.8735555236541763</v>
      </c>
      <c r="AX12" s="6">
        <f t="shared" si="10"/>
        <v>4.8049629049602496</v>
      </c>
      <c r="AY12" s="6">
        <f t="shared" si="11"/>
        <v>0.41492239596659403</v>
      </c>
      <c r="AZ12" s="6">
        <f t="shared" si="12"/>
        <v>17.719103374920902</v>
      </c>
      <c r="BA12" s="6">
        <f t="shared" si="13"/>
        <v>0.3944721677487063</v>
      </c>
      <c r="BB12" s="6">
        <f t="shared" si="14"/>
        <v>0</v>
      </c>
      <c r="BC12" s="6">
        <f t="shared" si="15"/>
        <v>756.35880701836084</v>
      </c>
      <c r="BD12" s="6">
        <f t="shared" si="16"/>
        <v>0</v>
      </c>
      <c r="BE12" s="6">
        <f t="shared" si="25"/>
        <v>284.267575443856</v>
      </c>
    </row>
    <row r="13" spans="1:57">
      <c r="B13" s="6" t="s">
        <v>74</v>
      </c>
      <c r="C13" s="35">
        <f>'Flash B'!E18</f>
        <v>0.10374969652927329</v>
      </c>
      <c r="D13" s="6" t="s">
        <v>75</v>
      </c>
      <c r="E13" s="18">
        <v>30.7</v>
      </c>
      <c r="F13" s="18">
        <v>-127.44</v>
      </c>
      <c r="G13" s="6">
        <v>800</v>
      </c>
      <c r="H13" s="20">
        <v>-297.04000000000002</v>
      </c>
      <c r="I13" s="20">
        <v>707.8</v>
      </c>
      <c r="J13" s="20">
        <v>90.1</v>
      </c>
      <c r="K13" s="19">
        <v>0.99609999999999999</v>
      </c>
      <c r="L13" s="19">
        <v>0.35630000000000001</v>
      </c>
      <c r="M13" s="18">
        <f t="shared" si="17"/>
        <v>2.9704731</v>
      </c>
      <c r="N13" s="18">
        <f t="shared" ref="N13:N24" si="26">E13/M13</f>
        <v>10.335054035668595</v>
      </c>
      <c r="O13" s="19">
        <v>1.0382</v>
      </c>
      <c r="P13" s="19">
        <f t="shared" ref="P13:P25" si="27">13.102/O13</f>
        <v>12.619919090733962</v>
      </c>
      <c r="Q13" s="6">
        <v>0.40799999999999997</v>
      </c>
      <c r="R13" s="6">
        <v>0.92559999999999998</v>
      </c>
      <c r="S13" s="6">
        <v>1768</v>
      </c>
      <c r="T13" s="6">
        <v>65889</v>
      </c>
      <c r="U13" s="18">
        <f>N13*C13/0.3795</f>
        <v>2.8254511721060815</v>
      </c>
      <c r="V13" s="42">
        <v>1145</v>
      </c>
      <c r="W13" s="163">
        <v>303</v>
      </c>
      <c r="X13" s="42">
        <f t="shared" si="19"/>
        <v>1.6873945176692875</v>
      </c>
      <c r="Y13" s="42">
        <f>'Flash B'!L70</f>
        <v>0.89936951208598037</v>
      </c>
      <c r="Z13" s="164">
        <f>'Flash B'!F18</f>
        <v>-1.1569721279096607E-2</v>
      </c>
      <c r="AA13" s="164">
        <f>'Flash B'!I18</f>
        <v>0.114972326169997</v>
      </c>
      <c r="AB13" s="164">
        <f>'Flash B'!J18</f>
        <v>0.10340260489090039</v>
      </c>
      <c r="AC13" s="19">
        <f t="shared" si="20"/>
        <v>3.5296504134189077</v>
      </c>
      <c r="AD13" s="19">
        <f t="shared" si="21"/>
        <v>3.1744599701506417</v>
      </c>
      <c r="AE13" s="6">
        <f t="shared" si="22"/>
        <v>5.9162082811095075E-4</v>
      </c>
      <c r="AF13" s="6">
        <f t="shared" si="23"/>
        <v>37.92372243754469</v>
      </c>
      <c r="AG13" s="6">
        <f t="shared" si="24"/>
        <v>39.847732761933216</v>
      </c>
      <c r="AO13" s="6">
        <f t="shared" si="1"/>
        <v>3.1851156834486902</v>
      </c>
      <c r="AP13" s="6">
        <f t="shared" si="2"/>
        <v>-13.221861325690588</v>
      </c>
      <c r="AQ13" s="6">
        <f t="shared" si="3"/>
        <v>82.999757223418641</v>
      </c>
      <c r="AR13" s="6">
        <f t="shared" si="4"/>
        <v>-30.817809857055341</v>
      </c>
      <c r="AS13" s="6">
        <f t="shared" si="5"/>
        <v>73.43403520341964</v>
      </c>
      <c r="AT13" s="6">
        <f t="shared" si="6"/>
        <v>9.3478476572875238</v>
      </c>
      <c r="AU13" s="6">
        <f t="shared" si="7"/>
        <v>0.10334507271280913</v>
      </c>
      <c r="AV13" s="6">
        <f t="shared" si="8"/>
        <v>3.6966016873380074E-2</v>
      </c>
      <c r="AW13" s="6">
        <f t="shared" si="9"/>
        <v>0.30818568267336965</v>
      </c>
      <c r="AX13" s="6">
        <f t="shared" si="10"/>
        <v>1.0722587198142579</v>
      </c>
      <c r="AY13" s="6">
        <f t="shared" si="11"/>
        <v>0.10771293493669154</v>
      </c>
      <c r="AZ13" s="6">
        <f t="shared" si="12"/>
        <v>1.3093127758876311</v>
      </c>
      <c r="BA13" s="6">
        <f t="shared" si="13"/>
        <v>4.2329876183943502E-2</v>
      </c>
      <c r="BB13" s="6">
        <f t="shared" si="14"/>
        <v>9.603071910749536E-2</v>
      </c>
      <c r="BC13" s="6">
        <f t="shared" si="15"/>
        <v>183.42946346375518</v>
      </c>
      <c r="BD13" s="6">
        <f t="shared" si="16"/>
        <v>6835.963754617288</v>
      </c>
      <c r="BE13" s="6">
        <f t="shared" si="25"/>
        <v>40.195902219750273</v>
      </c>
    </row>
    <row r="14" spans="1:57">
      <c r="B14" s="6" t="s">
        <v>76</v>
      </c>
      <c r="C14" s="35">
        <f>'Flash B'!E19</f>
        <v>4.9172125239411987E-2</v>
      </c>
      <c r="D14" s="6" t="s">
        <v>77</v>
      </c>
      <c r="E14" s="18">
        <v>44.097000000000001</v>
      </c>
      <c r="F14" s="18">
        <v>-43.73</v>
      </c>
      <c r="G14" s="6">
        <v>188</v>
      </c>
      <c r="H14" s="20">
        <v>-305.82</v>
      </c>
      <c r="I14" s="20">
        <v>616.29999999999995</v>
      </c>
      <c r="J14" s="20">
        <v>206.1</v>
      </c>
      <c r="K14" s="19">
        <v>0.98080000000000001</v>
      </c>
      <c r="L14" s="19">
        <v>0.50749999999999995</v>
      </c>
      <c r="M14" s="18">
        <f t="shared" si="17"/>
        <v>4.2310274999999997</v>
      </c>
      <c r="N14" s="18">
        <f t="shared" si="26"/>
        <v>10.422291039233379</v>
      </c>
      <c r="O14" s="19">
        <v>1.5225</v>
      </c>
      <c r="P14" s="19">
        <f t="shared" si="27"/>
        <v>8.6055829228243024</v>
      </c>
      <c r="Q14" s="6">
        <v>0.38869999999999999</v>
      </c>
      <c r="R14" s="6">
        <v>0.59019999999999995</v>
      </c>
      <c r="S14" s="6">
        <v>2517</v>
      </c>
      <c r="T14" s="6">
        <v>90962</v>
      </c>
      <c r="U14" s="18">
        <f t="shared" ref="U14:U23" si="28">N14*C14/0.3795</f>
        <v>1.3504247701259158</v>
      </c>
      <c r="V14" s="42">
        <v>1799</v>
      </c>
      <c r="W14" s="163">
        <v>416</v>
      </c>
      <c r="X14" s="42">
        <f t="shared" si="19"/>
        <v>1.0384243985902224</v>
      </c>
      <c r="Y14" s="42">
        <f>'Flash B'!L71</f>
        <v>0.21049076552810234</v>
      </c>
      <c r="Z14" s="164">
        <f>'Flash B'!F19</f>
        <v>-0.16578060902537914</v>
      </c>
      <c r="AA14" s="164">
        <f>'Flash B'!I19</f>
        <v>0.20997931599402966</v>
      </c>
      <c r="AB14" s="164">
        <f>'Flash B'!J19</f>
        <v>4.4198706968650608E-2</v>
      </c>
      <c r="AC14" s="19">
        <f t="shared" si="20"/>
        <v>9.2594578973887263</v>
      </c>
      <c r="AD14" s="19">
        <f t="shared" si="21"/>
        <v>1.9490303811965859</v>
      </c>
      <c r="AE14" s="6">
        <f t="shared" si="22"/>
        <v>1.0805046827605826E-3</v>
      </c>
      <c r="AF14" s="6">
        <f t="shared" si="23"/>
        <v>16.210225041680594</v>
      </c>
      <c r="AG14" s="6">
        <f t="shared" si="24"/>
        <v>18.885816261867813</v>
      </c>
      <c r="AO14" s="6">
        <f t="shared" si="1"/>
        <v>2.1683432066823505</v>
      </c>
      <c r="AP14" s="6">
        <f t="shared" si="2"/>
        <v>-2.1502970367194862</v>
      </c>
      <c r="AQ14" s="6">
        <f t="shared" si="3"/>
        <v>9.2443595450094538</v>
      </c>
      <c r="AR14" s="6">
        <f t="shared" si="4"/>
        <v>-15.037819340716974</v>
      </c>
      <c r="AS14" s="6">
        <f t="shared" si="5"/>
        <v>30.304780785049605</v>
      </c>
      <c r="AT14" s="6">
        <f t="shared" si="6"/>
        <v>10.13437501184281</v>
      </c>
      <c r="AU14" s="6">
        <f t="shared" si="7"/>
        <v>4.8228020434815277E-2</v>
      </c>
      <c r="AV14" s="6">
        <f t="shared" si="8"/>
        <v>2.495485355900158E-2</v>
      </c>
      <c r="AW14" s="6">
        <f t="shared" si="9"/>
        <v>0.20804861412139619</v>
      </c>
      <c r="AX14" s="6">
        <f t="shared" si="10"/>
        <v>0.51248620026278502</v>
      </c>
      <c r="AY14" s="6">
        <f t="shared" si="11"/>
        <v>7.4864560677004754E-2</v>
      </c>
      <c r="AZ14" s="6">
        <f t="shared" si="12"/>
        <v>0.42315480123926164</v>
      </c>
      <c r="BA14" s="6">
        <f t="shared" si="13"/>
        <v>1.9113205080559439E-2</v>
      </c>
      <c r="BB14" s="6">
        <f t="shared" si="14"/>
        <v>2.9021388316300953E-2</v>
      </c>
      <c r="BC14" s="6">
        <f t="shared" si="15"/>
        <v>123.76623922759997</v>
      </c>
      <c r="BD14" s="6">
        <f t="shared" si="16"/>
        <v>4472.7948560273935</v>
      </c>
      <c r="BE14" s="6">
        <f t="shared" si="25"/>
        <v>18.65985727024772</v>
      </c>
    </row>
    <row r="15" spans="1:57">
      <c r="B15" s="6" t="s">
        <v>78</v>
      </c>
      <c r="C15" s="35">
        <f>'Flash B'!E20</f>
        <v>6.4687434070746837E-3</v>
      </c>
      <c r="D15" s="6" t="s">
        <v>79</v>
      </c>
      <c r="E15" s="18">
        <v>58.124000000000002</v>
      </c>
      <c r="F15" s="18">
        <v>10.74</v>
      </c>
      <c r="G15" s="6">
        <v>72.39</v>
      </c>
      <c r="H15" s="20">
        <v>-255.28</v>
      </c>
      <c r="I15" s="20">
        <v>529.1</v>
      </c>
      <c r="J15" s="20">
        <v>274.95999999999998</v>
      </c>
      <c r="K15" s="19">
        <v>0.96609999999999996</v>
      </c>
      <c r="L15" s="19">
        <v>0.56299999999999994</v>
      </c>
      <c r="M15" s="18">
        <f t="shared" si="17"/>
        <v>4.6937309999999997</v>
      </c>
      <c r="N15" s="18">
        <f t="shared" si="26"/>
        <v>12.383325759401211</v>
      </c>
      <c r="O15" s="19">
        <v>2.0068000000000001</v>
      </c>
      <c r="P15" s="19">
        <f t="shared" si="27"/>
        <v>6.5288020729519634</v>
      </c>
      <c r="Q15" s="6">
        <v>0.38669999999999999</v>
      </c>
      <c r="R15" s="6">
        <v>0.56599999999999995</v>
      </c>
      <c r="S15" s="6">
        <v>3252</v>
      </c>
      <c r="T15" s="6">
        <v>98968</v>
      </c>
      <c r="U15" s="18">
        <f t="shared" si="28"/>
        <v>0.21107920122209403</v>
      </c>
      <c r="V15" s="42">
        <v>2037</v>
      </c>
      <c r="W15" s="163">
        <v>471</v>
      </c>
      <c r="X15" s="42">
        <f t="shared" si="19"/>
        <v>0.60400965085225478</v>
      </c>
      <c r="Y15" s="42">
        <f>'Flash B'!L72</f>
        <v>7.8238003806365766E-2</v>
      </c>
      <c r="Z15" s="164">
        <f>'Flash B'!F20</f>
        <v>-5.630931345600311E-2</v>
      </c>
      <c r="AA15" s="164">
        <f>'Flash B'!I20</f>
        <v>6.1088777459397704E-2</v>
      </c>
      <c r="AB15" s="164">
        <f>'Flash B'!J20</f>
        <v>4.7794640033945891E-3</v>
      </c>
      <c r="AC15" s="19">
        <f t="shared" si="20"/>
        <v>3.5507241010500321</v>
      </c>
      <c r="AD15" s="19">
        <f t="shared" si="21"/>
        <v>0.27780156573330711</v>
      </c>
      <c r="AE15" s="6">
        <f t="shared" si="22"/>
        <v>3.1434862903770538E-4</v>
      </c>
      <c r="AF15" s="6">
        <f t="shared" si="23"/>
        <v>1.7529061908664094</v>
      </c>
      <c r="AG15" s="6">
        <f t="shared" si="24"/>
        <v>2.4844868680449608</v>
      </c>
      <c r="AO15" s="6">
        <f t="shared" si="1"/>
        <v>0.37598924179280896</v>
      </c>
      <c r="AP15" s="6">
        <f t="shared" si="2"/>
        <v>6.9474304191982111E-2</v>
      </c>
      <c r="AQ15" s="6">
        <f t="shared" si="3"/>
        <v>0.46827233523813638</v>
      </c>
      <c r="AR15" s="6">
        <f t="shared" si="4"/>
        <v>-1.6513408169580253</v>
      </c>
      <c r="AS15" s="6">
        <f t="shared" si="5"/>
        <v>3.4226121366832154</v>
      </c>
      <c r="AT15" s="6">
        <f t="shared" si="6"/>
        <v>1.7786456872092549</v>
      </c>
      <c r="AU15" s="6">
        <f t="shared" si="7"/>
        <v>6.2494530055748516E-3</v>
      </c>
      <c r="AV15" s="6">
        <f t="shared" si="8"/>
        <v>3.6419025381830466E-3</v>
      </c>
      <c r="AW15" s="6">
        <f t="shared" si="9"/>
        <v>3.036254146083206E-2</v>
      </c>
      <c r="AX15" s="6">
        <f t="shared" si="10"/>
        <v>8.010455686378469E-2</v>
      </c>
      <c r="AY15" s="6">
        <f t="shared" si="11"/>
        <v>1.2981474269317476E-2</v>
      </c>
      <c r="AZ15" s="6">
        <f t="shared" si="12"/>
        <v>4.2233145365503544E-2</v>
      </c>
      <c r="BA15" s="6">
        <f t="shared" si="13"/>
        <v>2.50146307551578E-3</v>
      </c>
      <c r="BB15" s="6">
        <f t="shared" si="14"/>
        <v>3.6613087684042706E-3</v>
      </c>
      <c r="BC15" s="6">
        <f t="shared" si="15"/>
        <v>21.036353559806873</v>
      </c>
      <c r="BD15" s="6">
        <f t="shared" si="16"/>
        <v>640.19859751136732</v>
      </c>
      <c r="BE15" s="6">
        <f t="shared" si="25"/>
        <v>2.4547593412245279</v>
      </c>
    </row>
    <row r="16" spans="1:57">
      <c r="B16" s="6" t="s">
        <v>80</v>
      </c>
      <c r="C16" s="35">
        <f>'Flash B'!E21</f>
        <v>1.4271695793360122E-2</v>
      </c>
      <c r="D16" s="6" t="s">
        <v>79</v>
      </c>
      <c r="E16" s="18">
        <v>58.124000000000002</v>
      </c>
      <c r="F16" s="18">
        <v>31.12</v>
      </c>
      <c r="G16" s="6">
        <v>51.54</v>
      </c>
      <c r="H16" s="20">
        <v>-217.05</v>
      </c>
      <c r="I16" s="20">
        <v>550.70000000000005</v>
      </c>
      <c r="J16" s="20">
        <v>305.62</v>
      </c>
      <c r="K16" s="19">
        <v>0.93669999999999998</v>
      </c>
      <c r="L16" s="19">
        <v>0.58430000000000004</v>
      </c>
      <c r="M16" s="18">
        <f t="shared" si="17"/>
        <v>4.8713091000000004</v>
      </c>
      <c r="N16" s="18">
        <f t="shared" si="26"/>
        <v>11.931905532334213</v>
      </c>
      <c r="O16" s="19">
        <v>2.0068000000000001</v>
      </c>
      <c r="P16" s="19">
        <f t="shared" si="27"/>
        <v>6.5288020729519634</v>
      </c>
      <c r="Q16" s="6">
        <v>0.39510000000000001</v>
      </c>
      <c r="R16" s="6">
        <v>0.56599999999999995</v>
      </c>
      <c r="S16" s="6">
        <v>3262</v>
      </c>
      <c r="T16" s="6">
        <v>102918</v>
      </c>
      <c r="U16" s="18">
        <f t="shared" si="28"/>
        <v>0.44871811855753502</v>
      </c>
      <c r="V16" s="42">
        <v>2153</v>
      </c>
      <c r="W16" s="163">
        <v>491</v>
      </c>
      <c r="X16" s="42">
        <f t="shared" si="19"/>
        <v>0.45220933186736401</v>
      </c>
      <c r="Y16" s="42">
        <f>'Flash B'!L73</f>
        <v>5.5073027000761027E-2</v>
      </c>
      <c r="Z16" s="164">
        <f>'Flash B'!F21</f>
        <v>-0.1616587764087051</v>
      </c>
      <c r="AA16" s="164">
        <f>'Flash B'!I21</f>
        <v>0.1710807089098039</v>
      </c>
      <c r="AB16" s="164">
        <f>'Flash B'!J21</f>
        <v>9.4219325010989671E-3</v>
      </c>
      <c r="AC16" s="19">
        <f t="shared" si="20"/>
        <v>9.9438951246734426</v>
      </c>
      <c r="AD16" s="19">
        <f t="shared" si="21"/>
        <v>0.54764040469387643</v>
      </c>
      <c r="AE16" s="6">
        <f t="shared" si="22"/>
        <v>8.8034150521901482E-4</v>
      </c>
      <c r="AF16" s="6">
        <f t="shared" si="23"/>
        <v>3.4555681974739381</v>
      </c>
      <c r="AG16" s="6">
        <f t="shared" si="24"/>
        <v>5.481410925119782</v>
      </c>
      <c r="AO16" s="6">
        <f t="shared" si="1"/>
        <v>0.82952804629326371</v>
      </c>
      <c r="AP16" s="6">
        <f t="shared" si="2"/>
        <v>0.44413517308936701</v>
      </c>
      <c r="AQ16" s="6">
        <f t="shared" si="3"/>
        <v>0.73556320118978069</v>
      </c>
      <c r="AR16" s="6">
        <f t="shared" si="4"/>
        <v>-3.0976715719488146</v>
      </c>
      <c r="AS16" s="6">
        <f t="shared" si="5"/>
        <v>7.8594228734034193</v>
      </c>
      <c r="AT16" s="6">
        <f t="shared" si="6"/>
        <v>4.3617156683667204</v>
      </c>
      <c r="AU16" s="6">
        <f t="shared" si="7"/>
        <v>1.3368297449640425E-2</v>
      </c>
      <c r="AV16" s="6">
        <f t="shared" si="8"/>
        <v>8.3389518520603188E-3</v>
      </c>
      <c r="AW16" s="6">
        <f t="shared" si="9"/>
        <v>6.9521841590626882E-2</v>
      </c>
      <c r="AX16" s="6">
        <f t="shared" si="10"/>
        <v>0.17028852599258454</v>
      </c>
      <c r="AY16" s="6">
        <f t="shared" si="11"/>
        <v>2.8640439118115094E-2</v>
      </c>
      <c r="AZ16" s="6">
        <f t="shared" si="12"/>
        <v>9.3177077080229376E-2</v>
      </c>
      <c r="BA16" s="6">
        <f t="shared" si="13"/>
        <v>5.6387470079565846E-3</v>
      </c>
      <c r="BB16" s="6">
        <f t="shared" si="14"/>
        <v>8.0777798190418276E-3</v>
      </c>
      <c r="BC16" s="6">
        <f t="shared" si="15"/>
        <v>46.554271677940719</v>
      </c>
      <c r="BD16" s="6">
        <f t="shared" si="16"/>
        <v>1468.814387661037</v>
      </c>
      <c r="BE16" s="6">
        <f t="shared" si="25"/>
        <v>5.4158244282112529</v>
      </c>
    </row>
    <row r="17" spans="1:57">
      <c r="B17" s="6" t="s">
        <v>81</v>
      </c>
      <c r="C17" s="35">
        <f>'Flash B'!E22</f>
        <v>3.2985688112396258E-3</v>
      </c>
      <c r="D17" s="6" t="s">
        <v>82</v>
      </c>
      <c r="E17" s="18">
        <v>72.150999999999996</v>
      </c>
      <c r="F17" s="18">
        <v>82.11</v>
      </c>
      <c r="G17" s="6">
        <v>20.443999999999999</v>
      </c>
      <c r="H17" s="20">
        <v>-255.82</v>
      </c>
      <c r="I17" s="20">
        <v>490.4</v>
      </c>
      <c r="J17" s="20">
        <v>369.03</v>
      </c>
      <c r="K17" s="19">
        <v>0.94799999999999995</v>
      </c>
      <c r="L17" s="19">
        <v>0.62439999999999996</v>
      </c>
      <c r="M17" s="18">
        <f t="shared" si="17"/>
        <v>5.2056227999999996</v>
      </c>
      <c r="N17" s="18">
        <f t="shared" si="26"/>
        <v>13.860205161234502</v>
      </c>
      <c r="O17" s="19">
        <v>2.4910999999999999</v>
      </c>
      <c r="P17" s="19">
        <f t="shared" si="27"/>
        <v>5.2595239051021645</v>
      </c>
      <c r="Q17" s="6">
        <v>0.38290000000000002</v>
      </c>
      <c r="R17" s="6">
        <v>0.5353</v>
      </c>
      <c r="S17" s="6">
        <v>4000</v>
      </c>
      <c r="T17" s="6">
        <v>108722</v>
      </c>
      <c r="U17" s="18">
        <f t="shared" si="28"/>
        <v>0.12047125286490282</v>
      </c>
      <c r="V17" s="42">
        <v>2368</v>
      </c>
      <c r="W17" s="163">
        <v>542</v>
      </c>
      <c r="X17" s="42">
        <f t="shared" si="19"/>
        <v>4.356035340549802E-2</v>
      </c>
      <c r="Y17" s="42">
        <f>'Flash B'!L74</f>
        <v>2.1897458172461838E-2</v>
      </c>
      <c r="Z17" s="164">
        <f>'Flash B'!F22</f>
        <v>-6.2964576281787296E-2</v>
      </c>
      <c r="AA17" s="164">
        <f>'Flash B'!I22</f>
        <v>6.4374207804573202E-2</v>
      </c>
      <c r="AB17" s="164">
        <f>'Flash B'!J22</f>
        <v>1.409631522786008E-3</v>
      </c>
      <c r="AC17" s="19">
        <f t="shared" si="20"/>
        <v>4.6446634673077609</v>
      </c>
      <c r="AD17" s="19">
        <f t="shared" si="21"/>
        <v>0.10170632400053325</v>
      </c>
      <c r="AE17" s="6">
        <f t="shared" si="22"/>
        <v>3.3125468883717047E-4</v>
      </c>
      <c r="AF17" s="6">
        <f t="shared" si="23"/>
        <v>0.51699349997762445</v>
      </c>
      <c r="AG17" s="6">
        <f t="shared" si="24"/>
        <v>1.2668999802812724</v>
      </c>
      <c r="AO17" s="6">
        <f t="shared" si="1"/>
        <v>0.23799503829975022</v>
      </c>
      <c r="AP17" s="6">
        <f t="shared" si="2"/>
        <v>0.27084548509088568</v>
      </c>
      <c r="AQ17" s="6">
        <f t="shared" si="3"/>
        <v>6.7435940776982908E-2</v>
      </c>
      <c r="AR17" s="6">
        <f t="shared" si="4"/>
        <v>-0.84383987329132104</v>
      </c>
      <c r="AS17" s="6">
        <f t="shared" si="5"/>
        <v>1.6176181450319125</v>
      </c>
      <c r="AT17" s="6">
        <f t="shared" si="6"/>
        <v>1.2172708484117589</v>
      </c>
      <c r="AU17" s="6">
        <f t="shared" si="7"/>
        <v>3.1270432330551649E-3</v>
      </c>
      <c r="AV17" s="6">
        <f t="shared" si="8"/>
        <v>2.0596263657380221E-3</v>
      </c>
      <c r="AW17" s="6">
        <f t="shared" si="9"/>
        <v>1.717110501115789E-2</v>
      </c>
      <c r="AX17" s="6">
        <f t="shared" si="10"/>
        <v>4.5718840462230619E-2</v>
      </c>
      <c r="AY17" s="6">
        <f t="shared" si="11"/>
        <v>8.2170647656790319E-3</v>
      </c>
      <c r="AZ17" s="6">
        <f t="shared" si="12"/>
        <v>1.734890151533924E-2</v>
      </c>
      <c r="BA17" s="6">
        <f t="shared" si="13"/>
        <v>1.2630219978236527E-3</v>
      </c>
      <c r="BB17" s="6">
        <f t="shared" si="14"/>
        <v>1.7657238846565716E-3</v>
      </c>
      <c r="BC17" s="6">
        <f t="shared" si="15"/>
        <v>13.194275244958503</v>
      </c>
      <c r="BD17" s="6">
        <f t="shared" si="16"/>
        <v>358.6269982955946</v>
      </c>
      <c r="BE17" s="6">
        <f t="shared" si="25"/>
        <v>1.2517405932332415</v>
      </c>
    </row>
    <row r="18" spans="1:57">
      <c r="B18" s="6" t="s">
        <v>83</v>
      </c>
      <c r="C18" s="35">
        <f>'Flash B'!E23</f>
        <v>3.4466820903256267E-3</v>
      </c>
      <c r="D18" s="6" t="s">
        <v>82</v>
      </c>
      <c r="E18" s="18">
        <v>72.150999999999996</v>
      </c>
      <c r="F18" s="18">
        <v>96.91</v>
      </c>
      <c r="G18" s="6">
        <v>15.574999999999999</v>
      </c>
      <c r="H18" s="20">
        <v>-201.51</v>
      </c>
      <c r="I18" s="20">
        <v>488.6</v>
      </c>
      <c r="J18" s="20">
        <v>385.6</v>
      </c>
      <c r="K18" s="19">
        <v>0.94199999999999995</v>
      </c>
      <c r="L18" s="19">
        <v>0.63109999999999999</v>
      </c>
      <c r="M18" s="18">
        <f t="shared" si="17"/>
        <v>5.2614806999999999</v>
      </c>
      <c r="N18" s="18">
        <f t="shared" si="26"/>
        <v>13.713059899659044</v>
      </c>
      <c r="O18" s="19">
        <v>2.4910999999999999</v>
      </c>
      <c r="P18" s="19">
        <f t="shared" si="27"/>
        <v>5.2595239051021645</v>
      </c>
      <c r="Q18" s="6">
        <v>0.39900000000000002</v>
      </c>
      <c r="R18" s="6">
        <v>0.54800000000000004</v>
      </c>
      <c r="S18" s="6">
        <v>4008</v>
      </c>
      <c r="T18" s="6">
        <v>110071</v>
      </c>
      <c r="U18" s="18">
        <f t="shared" si="28"/>
        <v>0.12454428974892585</v>
      </c>
      <c r="V18" s="42">
        <v>2480</v>
      </c>
      <c r="W18" s="163">
        <v>557</v>
      </c>
      <c r="X18" s="42">
        <f t="shared" si="19"/>
        <v>-7.7601417682470003E-2</v>
      </c>
      <c r="Y18" s="42">
        <f>'Flash B'!L75</f>
        <v>1.6300954822802836E-2</v>
      </c>
      <c r="Z18" s="164">
        <f>'Flash B'!F23</f>
        <v>-7.4009066287679309E-2</v>
      </c>
      <c r="AA18" s="164">
        <f>'Flash B'!I23</f>
        <v>7.5235476389374598E-2</v>
      </c>
      <c r="AB18" s="164">
        <f>'Flash B'!J23</f>
        <v>1.2264101016952447E-3</v>
      </c>
      <c r="AC18" s="19">
        <f t="shared" si="20"/>
        <v>5.4283148569697666</v>
      </c>
      <c r="AD18" s="19">
        <f t="shared" si="21"/>
        <v>8.8486715247413597E-2</v>
      </c>
      <c r="AE18" s="6">
        <f t="shared" si="22"/>
        <v>3.8714424877331192E-4</v>
      </c>
      <c r="AF18" s="6">
        <f t="shared" si="23"/>
        <v>0.44979559596553631</v>
      </c>
      <c r="AG18" s="6">
        <f t="shared" si="24"/>
        <v>1.3237866851194628</v>
      </c>
      <c r="AO18" s="6">
        <f t="shared" si="1"/>
        <v>0.24868155949908427</v>
      </c>
      <c r="AP18" s="6">
        <f t="shared" si="2"/>
        <v>0.33401796137345646</v>
      </c>
      <c r="AQ18" s="6">
        <f t="shared" si="3"/>
        <v>5.3682073556821634E-2</v>
      </c>
      <c r="AR18" s="6">
        <f t="shared" si="4"/>
        <v>-0.69454090802151702</v>
      </c>
      <c r="AS18" s="6">
        <f t="shared" si="5"/>
        <v>1.6840488693331013</v>
      </c>
      <c r="AT18" s="6">
        <f t="shared" si="6"/>
        <v>1.3290406140295616</v>
      </c>
      <c r="AU18" s="6">
        <f t="shared" si="7"/>
        <v>3.2467745290867401E-3</v>
      </c>
      <c r="AV18" s="6">
        <f t="shared" si="8"/>
        <v>2.1752010672045031E-3</v>
      </c>
      <c r="AW18" s="6">
        <f t="shared" si="9"/>
        <v>1.8134651297283942E-2</v>
      </c>
      <c r="AX18" s="6">
        <f t="shared" si="10"/>
        <v>4.726455795971736E-2</v>
      </c>
      <c r="AY18" s="6">
        <f t="shared" si="11"/>
        <v>8.5860297552101689E-3</v>
      </c>
      <c r="AZ18" s="6">
        <f t="shared" si="12"/>
        <v>1.8127906847355133E-2</v>
      </c>
      <c r="BA18" s="6">
        <f t="shared" si="13"/>
        <v>1.3752261540399251E-3</v>
      </c>
      <c r="BB18" s="6">
        <f t="shared" si="14"/>
        <v>1.8887817854984436E-3</v>
      </c>
      <c r="BC18" s="6">
        <f t="shared" si="15"/>
        <v>13.814301818025111</v>
      </c>
      <c r="BD18" s="6">
        <f t="shared" si="16"/>
        <v>379.37974436423207</v>
      </c>
      <c r="BE18" s="6">
        <f t="shared" si="25"/>
        <v>1.3079466069435202</v>
      </c>
    </row>
    <row r="19" spans="1:57">
      <c r="B19" s="6" t="s">
        <v>84</v>
      </c>
      <c r="C19" s="35">
        <f>'Flash B'!E24</f>
        <v>3.6631181082196441E-3</v>
      </c>
      <c r="D19" s="6" t="s">
        <v>85</v>
      </c>
      <c r="E19" s="18">
        <v>86.177999999999997</v>
      </c>
      <c r="F19" s="18">
        <v>155.72999999999999</v>
      </c>
      <c r="G19" s="6">
        <v>4.96</v>
      </c>
      <c r="H19" s="20">
        <v>-139.58000000000001</v>
      </c>
      <c r="I19" s="20">
        <v>710.4</v>
      </c>
      <c r="J19" s="20">
        <v>453.6</v>
      </c>
      <c r="K19" s="19">
        <v>0.91</v>
      </c>
      <c r="L19" s="19">
        <v>0.66400000000000003</v>
      </c>
      <c r="M19" s="18">
        <f t="shared" si="17"/>
        <v>5.535768</v>
      </c>
      <c r="N19" s="18">
        <f t="shared" si="26"/>
        <v>15.567487654829465</v>
      </c>
      <c r="O19" s="19">
        <v>2.9752999999999998</v>
      </c>
      <c r="P19" s="19">
        <f t="shared" si="27"/>
        <v>4.4035895539945553</v>
      </c>
      <c r="Q19" s="6">
        <v>0.38569999999999999</v>
      </c>
      <c r="R19" s="6">
        <v>0.53320000000000001</v>
      </c>
      <c r="S19" s="6">
        <v>4756</v>
      </c>
      <c r="T19" s="6">
        <v>115055</v>
      </c>
      <c r="U19" s="18">
        <f t="shared" si="28"/>
        <v>0.15026494315649952</v>
      </c>
      <c r="V19" s="42">
        <v>2738</v>
      </c>
      <c r="W19" s="163">
        <v>610</v>
      </c>
      <c r="X19" s="42">
        <f t="shared" si="19"/>
        <v>-0.51276926781612442</v>
      </c>
      <c r="Y19" s="42">
        <f>'Flash B'!L76</f>
        <v>5.3382276152330998E-3</v>
      </c>
      <c r="Z19" s="164">
        <f>'Flash B'!F24</f>
        <v>-0.10357482467736415</v>
      </c>
      <c r="AA19" s="164">
        <f>'Flash B'!I24</f>
        <v>0.10413069804526275</v>
      </c>
      <c r="AB19" s="164">
        <f>'Flash B'!J24</f>
        <v>5.5587336789872095E-4</v>
      </c>
      <c r="AC19" s="19">
        <f t="shared" si="20"/>
        <v>8.9737752961446517</v>
      </c>
      <c r="AD19" s="19">
        <f t="shared" si="21"/>
        <v>4.7904055098775974E-2</v>
      </c>
      <c r="AE19" s="6">
        <f t="shared" si="22"/>
        <v>5.3583233341056194E-4</v>
      </c>
      <c r="AF19" s="6">
        <f t="shared" si="23"/>
        <v>0.20387095022273857</v>
      </c>
      <c r="AG19" s="6">
        <f t="shared" si="24"/>
        <v>1.4069144906900977</v>
      </c>
      <c r="AO19" s="6">
        <f t="shared" si="1"/>
        <v>0.31568019233015249</v>
      </c>
      <c r="AP19" s="6">
        <f t="shared" si="2"/>
        <v>0.57045738299304516</v>
      </c>
      <c r="AQ19" s="6">
        <f t="shared" si="3"/>
        <v>1.8169065816769435E-2</v>
      </c>
      <c r="AR19" s="6">
        <f t="shared" si="4"/>
        <v>-0.51129802554529802</v>
      </c>
      <c r="AS19" s="6">
        <f t="shared" si="5"/>
        <v>2.6022791040792352</v>
      </c>
      <c r="AT19" s="6">
        <f t="shared" si="6"/>
        <v>1.6615903738884306</v>
      </c>
      <c r="AU19" s="6">
        <f t="shared" si="7"/>
        <v>3.3334374784798762E-3</v>
      </c>
      <c r="AV19" s="6">
        <f t="shared" si="8"/>
        <v>2.4323104238578438E-3</v>
      </c>
      <c r="AW19" s="6">
        <f t="shared" si="9"/>
        <v>2.0278172003702844E-2</v>
      </c>
      <c r="AX19" s="6">
        <f t="shared" si="10"/>
        <v>5.7025545927891573E-2</v>
      </c>
      <c r="AY19" s="6">
        <f t="shared" si="11"/>
        <v>1.0898875307385907E-2</v>
      </c>
      <c r="AZ19" s="6">
        <f t="shared" si="12"/>
        <v>1.6130868636404321E-2</v>
      </c>
      <c r="BA19" s="6">
        <f t="shared" si="13"/>
        <v>1.4128646543403167E-3</v>
      </c>
      <c r="BB19" s="6">
        <f t="shared" si="14"/>
        <v>1.9531745753027141E-3</v>
      </c>
      <c r="BC19" s="6">
        <f t="shared" si="15"/>
        <v>17.421789722692626</v>
      </c>
      <c r="BD19" s="6">
        <f t="shared" si="16"/>
        <v>421.46005394121113</v>
      </c>
      <c r="BE19" s="6">
        <f t="shared" si="25"/>
        <v>1.3901259973480515</v>
      </c>
    </row>
    <row r="20" spans="1:57">
      <c r="B20" s="6" t="s">
        <v>86</v>
      </c>
      <c r="C20" s="35">
        <f>Drawing!R48/4</f>
        <v>1.3896834197468024E-4</v>
      </c>
      <c r="D20" s="6" t="s">
        <v>87</v>
      </c>
      <c r="E20" s="18">
        <v>78.114000000000004</v>
      </c>
      <c r="F20" s="18">
        <v>176.16</v>
      </c>
      <c r="G20" s="6">
        <v>3.2250000000000001</v>
      </c>
      <c r="H20" s="20">
        <v>41.96</v>
      </c>
      <c r="I20" s="20">
        <v>710.4</v>
      </c>
      <c r="J20" s="20">
        <v>552.22</v>
      </c>
      <c r="K20" s="19">
        <v>0.92900000000000005</v>
      </c>
      <c r="L20" s="19">
        <v>0.88449999999999995</v>
      </c>
      <c r="M20" s="18">
        <f t="shared" si="17"/>
        <v>7.3740764999999993</v>
      </c>
      <c r="N20" s="18">
        <f t="shared" si="26"/>
        <v>10.593055279532292</v>
      </c>
      <c r="O20" s="19">
        <v>2.6968999999999999</v>
      </c>
      <c r="P20" s="19">
        <f t="shared" si="27"/>
        <v>4.8581704920464244</v>
      </c>
      <c r="Q20" s="6">
        <v>0.2422</v>
      </c>
      <c r="R20" s="6">
        <v>0.4098</v>
      </c>
      <c r="S20" s="6">
        <v>3741</v>
      </c>
      <c r="T20" s="6">
        <v>132651</v>
      </c>
      <c r="U20" s="18">
        <f t="shared" si="28"/>
        <v>3.8790496143418594E-3</v>
      </c>
      <c r="V20" s="47">
        <v>2800</v>
      </c>
      <c r="W20" s="163">
        <v>619</v>
      </c>
      <c r="X20" s="42">
        <f t="shared" si="19"/>
        <v>-0.59111960704489175</v>
      </c>
      <c r="Y20" s="42">
        <f>'Flash B'!L77</f>
        <v>6.6376161280891612E-5</v>
      </c>
      <c r="Z20" s="164">
        <f>'Flash B'!F25</f>
        <v>-4.8078463484972362E-4</v>
      </c>
      <c r="AA20" s="164">
        <f>'Flash B'!I25</f>
        <v>4.808165496065666E-4</v>
      </c>
      <c r="AB20" s="164">
        <f>'Flash B'!J25</f>
        <v>3.191475684320729E-8</v>
      </c>
      <c r="AC20" s="19">
        <f t="shared" si="20"/>
        <v>3.7558503955967347E-2</v>
      </c>
      <c r="AD20" s="19">
        <f t="shared" si="21"/>
        <v>2.4929893160502942E-6</v>
      </c>
      <c r="AE20" s="6">
        <f t="shared" si="22"/>
        <v>2.4741700435553985E-6</v>
      </c>
      <c r="AF20" s="6">
        <f t="shared" si="23"/>
        <v>1.1704989264637318E-5</v>
      </c>
      <c r="AG20" s="6">
        <f t="shared" si="24"/>
        <v>5.3374357117406714E-2</v>
      </c>
      <c r="AO20" s="6">
        <f t="shared" si="1"/>
        <v>1.0855373065010172E-2</v>
      </c>
      <c r="AP20" s="6">
        <f t="shared" si="2"/>
        <v>2.4480663122259671E-2</v>
      </c>
      <c r="AQ20" s="6">
        <f t="shared" si="3"/>
        <v>4.4817290286834377E-4</v>
      </c>
      <c r="AR20" s="6">
        <f t="shared" si="4"/>
        <v>5.8311116292575826E-3</v>
      </c>
      <c r="AS20" s="6">
        <f t="shared" si="5"/>
        <v>9.8723110138812839E-2</v>
      </c>
      <c r="AT20" s="6">
        <f t="shared" si="6"/>
        <v>7.6741097805257924E-2</v>
      </c>
      <c r="AU20" s="6">
        <f t="shared" si="7"/>
        <v>1.2910158969447794E-4</v>
      </c>
      <c r="AV20" s="6">
        <f t="shared" si="8"/>
        <v>1.2291749847660467E-4</v>
      </c>
      <c r="AW20" s="6">
        <f t="shared" si="9"/>
        <v>1.024763184799453E-3</v>
      </c>
      <c r="AX20" s="6">
        <f t="shared" si="10"/>
        <v>1.4720993286427356E-3</v>
      </c>
      <c r="AY20" s="6">
        <f t="shared" si="11"/>
        <v>3.7478372147151513E-4</v>
      </c>
      <c r="AZ20" s="6">
        <f t="shared" si="12"/>
        <v>6.7513189831000802E-4</v>
      </c>
      <c r="BA20" s="6">
        <f t="shared" si="13"/>
        <v>3.3658132426267552E-5</v>
      </c>
      <c r="BB20" s="6">
        <f t="shared" si="14"/>
        <v>5.6949226541223958E-5</v>
      </c>
      <c r="BC20" s="6">
        <f t="shared" si="15"/>
        <v>0.51988056732727872</v>
      </c>
      <c r="BD20" s="6">
        <f t="shared" si="16"/>
        <v>18.434289531283309</v>
      </c>
      <c r="BE20" s="6">
        <f t="shared" si="25"/>
        <v>5.2737253104587968E-2</v>
      </c>
    </row>
    <row r="21" spans="1:57">
      <c r="B21" s="6" t="s">
        <v>88</v>
      </c>
      <c r="C21" s="35">
        <f>C20</f>
        <v>1.3896834197468024E-4</v>
      </c>
      <c r="D21" s="6" t="s">
        <v>89</v>
      </c>
      <c r="E21" s="18">
        <v>92.141000000000005</v>
      </c>
      <c r="F21" s="18">
        <v>231.13</v>
      </c>
      <c r="G21" s="6">
        <v>1.0029999999999999</v>
      </c>
      <c r="H21" s="20">
        <v>-138.97999999999999</v>
      </c>
      <c r="I21" s="20">
        <v>595.5</v>
      </c>
      <c r="J21" s="20">
        <v>605.57000000000005</v>
      </c>
      <c r="K21" s="19">
        <v>0.90300000000000002</v>
      </c>
      <c r="L21" s="19">
        <v>0.87190000000000001</v>
      </c>
      <c r="M21" s="18">
        <f t="shared" si="17"/>
        <v>7.2690302999999998</v>
      </c>
      <c r="N21" s="18">
        <f t="shared" si="26"/>
        <v>12.675831052733404</v>
      </c>
      <c r="O21" s="19">
        <v>3.1812</v>
      </c>
      <c r="P21" s="19">
        <f t="shared" si="27"/>
        <v>4.118571608198164</v>
      </c>
      <c r="Q21" s="6">
        <v>0.25979999999999998</v>
      </c>
      <c r="R21" s="6">
        <v>0.40089999999999998</v>
      </c>
      <c r="S21" s="6">
        <v>4475</v>
      </c>
      <c r="T21" s="6">
        <v>132659</v>
      </c>
      <c r="U21" s="18">
        <f t="shared" si="28"/>
        <v>4.6417370870870268E-3</v>
      </c>
      <c r="V21" s="6">
        <v>3000</v>
      </c>
      <c r="W21" s="61">
        <v>800</v>
      </c>
      <c r="X21" s="42">
        <f t="shared" si="19"/>
        <v>-1.7298690920161346</v>
      </c>
      <c r="Y21" s="42">
        <f>'Flash B'!L78</f>
        <v>0</v>
      </c>
      <c r="Z21" s="164">
        <v>0</v>
      </c>
      <c r="AA21" s="164">
        <v>0</v>
      </c>
      <c r="AB21" s="164">
        <v>0</v>
      </c>
      <c r="AC21" s="19">
        <f t="shared" si="20"/>
        <v>0</v>
      </c>
      <c r="AD21" s="19">
        <f t="shared" si="21"/>
        <v>0</v>
      </c>
      <c r="AE21" s="6">
        <f t="shared" si="22"/>
        <v>0</v>
      </c>
      <c r="AF21" s="6">
        <f t="shared" si="23"/>
        <v>0</v>
      </c>
      <c r="AG21" s="6">
        <f t="shared" si="24"/>
        <v>5.3374357117406714E-2</v>
      </c>
      <c r="AO21" s="6">
        <f t="shared" si="1"/>
        <v>1.2804681997889013E-2</v>
      </c>
      <c r="AP21" s="6">
        <f t="shared" si="2"/>
        <v>3.2119752880607845E-2</v>
      </c>
      <c r="AQ21" s="6">
        <f t="shared" si="3"/>
        <v>1.3938524700060425E-4</v>
      </c>
      <c r="AR21" s="6">
        <f t="shared" si="4"/>
        <v>-1.931382016764106E-2</v>
      </c>
      <c r="AS21" s="6">
        <f t="shared" si="5"/>
        <v>8.2755647645922081E-2</v>
      </c>
      <c r="AT21" s="6">
        <f t="shared" si="6"/>
        <v>8.4155058849607112E-2</v>
      </c>
      <c r="AU21" s="6">
        <f t="shared" si="7"/>
        <v>1.2548841280313625E-4</v>
      </c>
      <c r="AV21" s="6">
        <f t="shared" si="8"/>
        <v>1.2116649736772371E-4</v>
      </c>
      <c r="AW21" s="6">
        <f t="shared" si="9"/>
        <v>1.0101650885547125E-3</v>
      </c>
      <c r="AX21" s="6">
        <f t="shared" si="10"/>
        <v>1.7615392245495267E-3</v>
      </c>
      <c r="AY21" s="6">
        <f t="shared" si="11"/>
        <v>4.4208608948985277E-4</v>
      </c>
      <c r="AZ21" s="6">
        <f t="shared" si="12"/>
        <v>5.7235106769529124E-4</v>
      </c>
      <c r="BA21" s="6">
        <f t="shared" si="13"/>
        <v>3.6103975245021922E-5</v>
      </c>
      <c r="BB21" s="6">
        <f t="shared" si="14"/>
        <v>5.5712408297649303E-5</v>
      </c>
      <c r="BC21" s="6">
        <f t="shared" si="15"/>
        <v>0.62188333033669407</v>
      </c>
      <c r="BD21" s="6">
        <f t="shared" si="16"/>
        <v>18.435401278019107</v>
      </c>
      <c r="BE21" s="6">
        <f t="shared" si="25"/>
        <v>5.2736999728511834E-2</v>
      </c>
    </row>
    <row r="22" spans="1:57">
      <c r="B22" s="6" t="s">
        <v>90</v>
      </c>
      <c r="C22" s="35">
        <f>C21</f>
        <v>1.3896834197468024E-4</v>
      </c>
      <c r="D22" s="6" t="s">
        <v>91</v>
      </c>
      <c r="E22" s="18">
        <v>106.16800000000001</v>
      </c>
      <c r="F22" s="18">
        <v>277.16000000000003</v>
      </c>
      <c r="G22" s="6">
        <v>0.37159999999999999</v>
      </c>
      <c r="H22" s="20">
        <v>-138.96</v>
      </c>
      <c r="I22" s="20">
        <v>523.4</v>
      </c>
      <c r="J22" s="20">
        <v>651.29</v>
      </c>
      <c r="K22" s="19"/>
      <c r="L22" s="19">
        <v>0.87170000000000003</v>
      </c>
      <c r="M22" s="18">
        <f t="shared" si="17"/>
        <v>7.2673629000000002</v>
      </c>
      <c r="N22" s="18">
        <f t="shared" si="26"/>
        <v>14.608875524848223</v>
      </c>
      <c r="O22" s="19">
        <v>3.6655000000000002</v>
      </c>
      <c r="P22" s="19">
        <f t="shared" si="27"/>
        <v>3.5744100395580412</v>
      </c>
      <c r="Q22" s="6">
        <v>0.27950000000000003</v>
      </c>
      <c r="R22" s="6">
        <v>0.4113</v>
      </c>
      <c r="S22" s="6">
        <v>5222</v>
      </c>
      <c r="T22" s="6">
        <v>134381</v>
      </c>
      <c r="U22" s="18">
        <f t="shared" si="28"/>
        <v>5.3495947557381917E-3</v>
      </c>
      <c r="V22" s="6">
        <v>4200</v>
      </c>
      <c r="W22" s="61">
        <v>850</v>
      </c>
      <c r="X22" s="42">
        <f t="shared" si="19"/>
        <v>-2.7306402582343536</v>
      </c>
      <c r="Y22" s="42">
        <f>'Flash B'!L79</f>
        <v>0</v>
      </c>
      <c r="Z22" s="164">
        <f>'Flash B'!F27</f>
        <v>0</v>
      </c>
      <c r="AA22" s="164">
        <f>'Flash B'!I27</f>
        <v>0</v>
      </c>
      <c r="AB22" s="164">
        <f>'Flash B'!J27</f>
        <v>0</v>
      </c>
      <c r="AC22" s="19">
        <f t="shared" si="20"/>
        <v>0</v>
      </c>
      <c r="AD22" s="19">
        <f t="shared" si="21"/>
        <v>0</v>
      </c>
      <c r="AE22" s="6">
        <f t="shared" si="22"/>
        <v>0</v>
      </c>
      <c r="AF22" s="6">
        <f t="shared" si="23"/>
        <v>0</v>
      </c>
      <c r="AG22" s="6">
        <f t="shared" si="24"/>
        <v>5.3374357117406714E-2</v>
      </c>
      <c r="AO22" s="6">
        <f t="shared" si="1"/>
        <v>1.4753990930767851E-2</v>
      </c>
      <c r="AP22" s="6">
        <f t="shared" si="2"/>
        <v>3.851646566170238E-2</v>
      </c>
      <c r="AQ22" s="6">
        <f t="shared" si="3"/>
        <v>5.1640635877791177E-5</v>
      </c>
      <c r="AR22" s="6">
        <f t="shared" si="4"/>
        <v>-1.9311040800801565E-2</v>
      </c>
      <c r="AS22" s="6">
        <f t="shared" si="5"/>
        <v>7.2736030189547635E-2</v>
      </c>
      <c r="AT22" s="6">
        <f t="shared" si="6"/>
        <v>9.0508691444689482E-2</v>
      </c>
      <c r="AU22" s="6">
        <f t="shared" si="7"/>
        <v>0</v>
      </c>
      <c r="AV22" s="6">
        <f t="shared" si="8"/>
        <v>1.2113870369932877E-4</v>
      </c>
      <c r="AW22" s="6">
        <f t="shared" si="9"/>
        <v>1.0099333727413039E-3</v>
      </c>
      <c r="AX22" s="6">
        <f t="shared" si="10"/>
        <v>2.0301712098026439E-3</v>
      </c>
      <c r="AY22" s="6">
        <f t="shared" si="11"/>
        <v>5.0938845750819045E-4</v>
      </c>
      <c r="AZ22" s="6">
        <f t="shared" si="12"/>
        <v>4.9672983673503218E-4</v>
      </c>
      <c r="BA22" s="6">
        <f t="shared" si="13"/>
        <v>3.8841651581923131E-5</v>
      </c>
      <c r="BB22" s="6">
        <f t="shared" si="14"/>
        <v>5.7157679054185984E-5</v>
      </c>
      <c r="BC22" s="6">
        <f t="shared" si="15"/>
        <v>0.72569268179178015</v>
      </c>
      <c r="BD22" s="6">
        <f t="shared" si="16"/>
        <v>18.674704762899506</v>
      </c>
      <c r="BE22" s="6">
        <f t="shared" si="25"/>
        <v>5.27368133064849E-2</v>
      </c>
    </row>
    <row r="23" spans="1:57">
      <c r="B23" s="6" t="s">
        <v>92</v>
      </c>
      <c r="C23" s="35">
        <f>C22</f>
        <v>1.3896834197468024E-4</v>
      </c>
      <c r="D23" s="6" t="s">
        <v>93</v>
      </c>
      <c r="E23" s="18">
        <v>106.16800000000001</v>
      </c>
      <c r="F23" s="18">
        <v>291.97000000000003</v>
      </c>
      <c r="G23" s="6">
        <v>0.26429999999999998</v>
      </c>
      <c r="H23" s="20">
        <v>-13.32</v>
      </c>
      <c r="I23" s="20">
        <v>541.6</v>
      </c>
      <c r="J23" s="20">
        <v>674.92</v>
      </c>
      <c r="K23" s="19"/>
      <c r="L23" s="19">
        <v>0.88470000000000004</v>
      </c>
      <c r="M23" s="18">
        <f t="shared" si="17"/>
        <v>7.3757438999999998</v>
      </c>
      <c r="N23" s="18">
        <f t="shared" si="26"/>
        <v>14.394209104792807</v>
      </c>
      <c r="O23" s="19">
        <v>3.6655000000000002</v>
      </c>
      <c r="P23" s="19">
        <f t="shared" si="27"/>
        <v>3.5744100395580412</v>
      </c>
      <c r="Q23" s="6">
        <v>0.29139999999999999</v>
      </c>
      <c r="R23" s="6">
        <v>0.41610000000000003</v>
      </c>
      <c r="S23" s="6">
        <v>5209</v>
      </c>
      <c r="T23" s="6">
        <v>136036</v>
      </c>
      <c r="U23" s="18">
        <f t="shared" si="28"/>
        <v>5.2709864909878867E-3</v>
      </c>
      <c r="V23" s="6">
        <v>4200</v>
      </c>
      <c r="W23" s="61">
        <v>880</v>
      </c>
      <c r="X23" s="42">
        <f t="shared" si="19"/>
        <v>-2.8990894560953158</v>
      </c>
      <c r="Y23" s="42">
        <f>'Flash B'!L80</f>
        <v>0</v>
      </c>
      <c r="Z23" s="164">
        <f>'Flash B'!F28</f>
        <v>0</v>
      </c>
      <c r="AA23" s="164">
        <f>'Flash B'!I28</f>
        <v>0</v>
      </c>
      <c r="AB23" s="164">
        <f>'Flash B'!J28</f>
        <v>0</v>
      </c>
      <c r="AC23" s="19">
        <f t="shared" si="20"/>
        <v>0</v>
      </c>
      <c r="AD23" s="19">
        <f t="shared" si="21"/>
        <v>0</v>
      </c>
      <c r="AE23" s="6">
        <f t="shared" si="22"/>
        <v>0</v>
      </c>
      <c r="AF23" s="6">
        <f t="shared" si="23"/>
        <v>0</v>
      </c>
      <c r="AG23" s="6">
        <f t="shared" si="24"/>
        <v>5.3374357117406714E-2</v>
      </c>
      <c r="AO23" s="6">
        <f t="shared" si="1"/>
        <v>1.4753990930767851E-2</v>
      </c>
      <c r="AP23" s="6">
        <f t="shared" si="2"/>
        <v>4.0574586806347394E-2</v>
      </c>
      <c r="AQ23" s="6">
        <f t="shared" si="3"/>
        <v>3.6729332783907981E-5</v>
      </c>
      <c r="AR23" s="6">
        <f t="shared" si="4"/>
        <v>-1.8510583151027408E-3</v>
      </c>
      <c r="AS23" s="6">
        <f t="shared" si="5"/>
        <v>7.5265254013486826E-2</v>
      </c>
      <c r="AT23" s="6">
        <f t="shared" si="6"/>
        <v>9.3792513365551181E-2</v>
      </c>
      <c r="AU23" s="6">
        <f t="shared" si="7"/>
        <v>0</v>
      </c>
      <c r="AV23" s="6">
        <f t="shared" si="8"/>
        <v>1.2294529214499961E-4</v>
      </c>
      <c r="AW23" s="6">
        <f t="shared" si="9"/>
        <v>1.0249949006128616E-3</v>
      </c>
      <c r="AX23" s="6">
        <f t="shared" si="10"/>
        <v>2.0003393733299029E-3</v>
      </c>
      <c r="AY23" s="6">
        <f t="shared" si="11"/>
        <v>5.0938845750819045E-4</v>
      </c>
      <c r="AZ23" s="6">
        <f t="shared" si="12"/>
        <v>4.9672983673503218E-4</v>
      </c>
      <c r="BA23" s="6">
        <f t="shared" si="13"/>
        <v>4.0495374851421819E-5</v>
      </c>
      <c r="BB23" s="6">
        <f t="shared" si="14"/>
        <v>5.7824727095664453E-5</v>
      </c>
      <c r="BC23" s="6">
        <f t="shared" si="15"/>
        <v>0.72388609334610932</v>
      </c>
      <c r="BD23" s="6">
        <f t="shared" si="16"/>
        <v>18.904697368867602</v>
      </c>
      <c r="BE23" s="6">
        <f t="shared" si="25"/>
        <v>5.27368133064849E-2</v>
      </c>
    </row>
    <row r="24" spans="1:57">
      <c r="B24" s="6" t="s">
        <v>1</v>
      </c>
      <c r="C24" s="35">
        <f>Drawing!Q50</f>
        <v>0</v>
      </c>
      <c r="D24" s="6" t="s">
        <v>94</v>
      </c>
      <c r="E24" s="18">
        <v>18.015000000000001</v>
      </c>
      <c r="F24" s="18">
        <v>212</v>
      </c>
      <c r="G24" s="6">
        <v>0.94950000000000001</v>
      </c>
      <c r="H24" s="20">
        <v>32</v>
      </c>
      <c r="I24" s="20">
        <v>3207.9</v>
      </c>
      <c r="J24" s="20">
        <v>705.5</v>
      </c>
      <c r="K24" s="19">
        <v>0.34339999999999998</v>
      </c>
      <c r="L24" s="19">
        <v>1</v>
      </c>
      <c r="M24" s="18">
        <v>8.3369999999999997</v>
      </c>
      <c r="N24" s="18">
        <f t="shared" si="26"/>
        <v>2.1608492263404102</v>
      </c>
      <c r="O24" s="19">
        <v>0.62180000000000002</v>
      </c>
      <c r="P24" s="19">
        <f t="shared" si="27"/>
        <v>21.071083949823095</v>
      </c>
      <c r="Q24" s="6">
        <v>0.44469999999999998</v>
      </c>
      <c r="R24" s="6">
        <v>1.0009999999999999</v>
      </c>
      <c r="S24" s="6">
        <v>49</v>
      </c>
      <c r="T24" s="6">
        <v>0</v>
      </c>
      <c r="U24" s="18"/>
      <c r="V24" s="6">
        <v>2000</v>
      </c>
      <c r="W24" s="61">
        <v>400</v>
      </c>
      <c r="X24" s="42">
        <f t="shared" si="19"/>
        <v>1.3467539386559104</v>
      </c>
      <c r="Y24" s="42">
        <v>1E-3</v>
      </c>
      <c r="Z24" s="164">
        <f>'Flash B'!F29</f>
        <v>0</v>
      </c>
      <c r="AA24" s="164">
        <f>'Flash B'!I29</f>
        <v>0</v>
      </c>
      <c r="AB24" s="164">
        <f>'Flash B'!J29</f>
        <v>0</v>
      </c>
      <c r="AC24" s="19">
        <f t="shared" si="20"/>
        <v>0</v>
      </c>
      <c r="AD24" s="19">
        <f t="shared" si="21"/>
        <v>0</v>
      </c>
      <c r="AE24" s="6">
        <f t="shared" si="22"/>
        <v>0</v>
      </c>
      <c r="AF24" s="6">
        <f t="shared" si="23"/>
        <v>0</v>
      </c>
      <c r="AG24" s="6">
        <f t="shared" si="24"/>
        <v>0</v>
      </c>
      <c r="AO24" s="6">
        <f t="shared" si="1"/>
        <v>0</v>
      </c>
      <c r="AP24" s="6">
        <f t="shared" si="2"/>
        <v>0</v>
      </c>
      <c r="AQ24" s="6">
        <f t="shared" si="3"/>
        <v>0</v>
      </c>
      <c r="AR24" s="6">
        <f t="shared" si="4"/>
        <v>0</v>
      </c>
      <c r="AS24" s="6">
        <f t="shared" si="5"/>
        <v>0</v>
      </c>
      <c r="AT24" s="6">
        <f t="shared" si="6"/>
        <v>0</v>
      </c>
      <c r="AU24" s="6">
        <f t="shared" si="7"/>
        <v>0</v>
      </c>
      <c r="AV24" s="6">
        <f t="shared" si="8"/>
        <v>0</v>
      </c>
      <c r="AW24" s="6">
        <f t="shared" si="9"/>
        <v>0</v>
      </c>
      <c r="AX24" s="6">
        <f t="shared" si="10"/>
        <v>0</v>
      </c>
      <c r="AY24" s="6">
        <f t="shared" si="11"/>
        <v>0</v>
      </c>
      <c r="AZ24" s="6">
        <f t="shared" si="12"/>
        <v>0</v>
      </c>
      <c r="BA24" s="6">
        <f t="shared" si="13"/>
        <v>0</v>
      </c>
      <c r="BB24" s="6">
        <f t="shared" si="14"/>
        <v>0</v>
      </c>
      <c r="BC24" s="6">
        <f t="shared" si="15"/>
        <v>0</v>
      </c>
      <c r="BD24" s="6">
        <f t="shared" si="16"/>
        <v>0</v>
      </c>
      <c r="BE24" s="6">
        <f t="shared" si="25"/>
        <v>0</v>
      </c>
    </row>
    <row r="25" spans="1:57" s="32" customFormat="1">
      <c r="B25" s="42" t="s">
        <v>95</v>
      </c>
      <c r="C25" s="58">
        <f>SUM(C9:C24)</f>
        <v>1.0013583097297623</v>
      </c>
      <c r="D25" s="42"/>
      <c r="E25" s="145">
        <f t="shared" ref="E25:T25" si="29">AO25</f>
        <v>22.216911740676856</v>
      </c>
      <c r="F25" s="145">
        <f t="shared" si="29"/>
        <v>-216.98950541629088</v>
      </c>
      <c r="G25" s="145">
        <f t="shared" si="29"/>
        <v>3839.0513462687331</v>
      </c>
      <c r="H25" s="145">
        <f t="shared" si="29"/>
        <v>-282.83080684264132</v>
      </c>
      <c r="I25" s="145">
        <f t="shared" si="29"/>
        <v>686.99992372141844</v>
      </c>
      <c r="J25" s="145">
        <f t="shared" si="29"/>
        <v>-55.133888223868723</v>
      </c>
      <c r="K25" s="145">
        <f t="shared" si="29"/>
        <v>0.99614375052439352</v>
      </c>
      <c r="L25" s="145">
        <f t="shared" si="29"/>
        <v>0.36098813483517583</v>
      </c>
      <c r="M25" s="145">
        <f t="shared" si="29"/>
        <v>3.0095580801208608</v>
      </c>
      <c r="N25" s="145">
        <f t="shared" si="29"/>
        <v>7.2064102956761547</v>
      </c>
      <c r="O25" s="145">
        <f t="shared" si="29"/>
        <v>0.76042850534738993</v>
      </c>
      <c r="P25" s="19">
        <f t="shared" si="27"/>
        <v>17.229759152722128</v>
      </c>
      <c r="Q25" s="145">
        <f t="shared" si="29"/>
        <v>0.48230904731713864</v>
      </c>
      <c r="R25" s="145">
        <f t="shared" si="29"/>
        <v>0.14262701746528308</v>
      </c>
      <c r="S25" s="145">
        <f t="shared" si="29"/>
        <v>1178.1674818772735</v>
      </c>
      <c r="T25" s="145">
        <f t="shared" si="29"/>
        <v>14651.687485359194</v>
      </c>
      <c r="U25" s="145">
        <f>SUM(U13:U23)</f>
        <v>5.2500951157301072</v>
      </c>
      <c r="V25" s="2"/>
      <c r="W25" s="2"/>
      <c r="X25" s="6"/>
      <c r="Y25" s="6"/>
      <c r="Z25" s="165">
        <f>SUM(Z9:Z24)</f>
        <v>4.3257350392843688E-2</v>
      </c>
      <c r="AA25" s="165">
        <f t="shared" ref="AA25:AD25" si="30">SUM(AA9:AA24)</f>
        <v>0.95885726193460752</v>
      </c>
      <c r="AB25" s="165">
        <f t="shared" si="30"/>
        <v>1.0021146123274516</v>
      </c>
      <c r="AC25" s="19">
        <f t="shared" si="30"/>
        <v>49.030630335408517</v>
      </c>
      <c r="AD25" s="19">
        <f t="shared" si="30"/>
        <v>21.333973161864417</v>
      </c>
      <c r="AE25" s="42">
        <f>SUM(AE9:AE24)</f>
        <v>4.9340562746132193E-3</v>
      </c>
      <c r="AF25" s="42">
        <f>SUM(AF9:AF24)</f>
        <v>367.53345284300855</v>
      </c>
      <c r="AG25" s="42">
        <f>SUM(AG9:AG24)</f>
        <v>384.59734977436119</v>
      </c>
      <c r="AO25" s="42">
        <f>SUM(AO9:AO24)</f>
        <v>22.216911740676856</v>
      </c>
      <c r="AP25" s="42">
        <f t="shared" ref="AP25:BD25" si="31">SUM(AP9:AP24)</f>
        <v>-216.98950541629088</v>
      </c>
      <c r="AQ25" s="42">
        <f t="shared" si="31"/>
        <v>3839.0513462687331</v>
      </c>
      <c r="AR25" s="42">
        <f t="shared" si="31"/>
        <v>-282.83080684264132</v>
      </c>
      <c r="AS25" s="42">
        <f t="shared" si="31"/>
        <v>686.99992372141844</v>
      </c>
      <c r="AT25" s="42">
        <f t="shared" si="31"/>
        <v>-55.133888223868723</v>
      </c>
      <c r="AU25" s="42">
        <f t="shared" si="31"/>
        <v>0.99614375052439352</v>
      </c>
      <c r="AV25" s="42">
        <f t="shared" si="31"/>
        <v>0.36098813483517583</v>
      </c>
      <c r="AW25" s="42">
        <f t="shared" si="31"/>
        <v>3.0095580801208608</v>
      </c>
      <c r="AX25" s="42">
        <f t="shared" si="31"/>
        <v>7.2064102956761547</v>
      </c>
      <c r="AY25" s="42">
        <f t="shared" si="31"/>
        <v>0.76042850534738993</v>
      </c>
      <c r="AZ25" s="42">
        <f t="shared" si="31"/>
        <v>20.401192698970902</v>
      </c>
      <c r="BA25" s="42">
        <f t="shared" si="31"/>
        <v>0.48230904731713864</v>
      </c>
      <c r="BB25" s="42">
        <f t="shared" si="31"/>
        <v>0.14262701746528308</v>
      </c>
      <c r="BC25" s="42">
        <f t="shared" si="31"/>
        <v>1178.1674818772735</v>
      </c>
      <c r="BD25" s="42">
        <f t="shared" si="31"/>
        <v>14651.687485359194</v>
      </c>
      <c r="BE25" s="42">
        <f>SUM(BE9:BE24)</f>
        <v>384.07565607375108</v>
      </c>
    </row>
    <row r="26" spans="1:57">
      <c r="E26" s="11"/>
      <c r="F26" s="11"/>
      <c r="G26" s="11"/>
      <c r="H26" s="11"/>
      <c r="I26" s="11"/>
      <c r="J26" s="11"/>
      <c r="K26" s="11"/>
      <c r="L26" s="11"/>
      <c r="M26" s="11"/>
      <c r="O26" s="11"/>
      <c r="P26" s="11"/>
      <c r="Q26" s="11"/>
      <c r="R26" s="11"/>
      <c r="S26" s="11"/>
      <c r="T26" s="11"/>
      <c r="U26" s="11"/>
    </row>
    <row r="27" spans="1:57">
      <c r="A27" s="13" t="s">
        <v>96</v>
      </c>
    </row>
    <row r="28" spans="1:57">
      <c r="C28" s="7" t="s">
        <v>97</v>
      </c>
    </row>
    <row r="29" spans="1:57">
      <c r="C29" s="8" t="s">
        <v>98</v>
      </c>
      <c r="K29" s="23" t="s">
        <v>99</v>
      </c>
      <c r="M29" s="2" t="s">
        <v>100</v>
      </c>
      <c r="N29" s="16">
        <f>'Flash B'!mL</f>
        <v>0.97</v>
      </c>
    </row>
    <row r="30" spans="1:57">
      <c r="B30" s="6" t="s">
        <v>68</v>
      </c>
      <c r="C30" s="58">
        <f>$N$43*C73/C9</f>
        <v>1.8334462397636192E-3</v>
      </c>
    </row>
    <row r="31" spans="1:57">
      <c r="B31" s="6" t="s">
        <v>69</v>
      </c>
      <c r="C31" s="58">
        <f t="shared" ref="C31:C45" si="32">$N$43*C74/C10</f>
        <v>2.1726086782863276E-2</v>
      </c>
    </row>
    <row r="32" spans="1:57">
      <c r="B32" s="6" t="s">
        <v>71</v>
      </c>
      <c r="C32" s="58">
        <f t="shared" si="32"/>
        <v>8.1945134719956902E-2</v>
      </c>
    </row>
    <row r="33" spans="2:14">
      <c r="B33" s="6" t="s">
        <v>72</v>
      </c>
      <c r="C33" s="58">
        <f t="shared" si="32"/>
        <v>4.6652443945305001E-3</v>
      </c>
    </row>
    <row r="34" spans="2:14">
      <c r="B34" s="6" t="s">
        <v>74</v>
      </c>
      <c r="C34" s="58">
        <f t="shared" si="32"/>
        <v>3.3245107219438658E-2</v>
      </c>
    </row>
    <row r="35" spans="2:14">
      <c r="B35" s="6" t="s">
        <v>76</v>
      </c>
      <c r="C35" s="58">
        <f t="shared" si="32"/>
        <v>0.12810874960458035</v>
      </c>
      <c r="G35" s="23" t="s">
        <v>58</v>
      </c>
    </row>
    <row r="36" spans="2:14">
      <c r="B36" s="6" t="s">
        <v>78</v>
      </c>
      <c r="C36" s="58">
        <f t="shared" si="32"/>
        <v>0.28331056102451058</v>
      </c>
    </row>
    <row r="37" spans="2:14">
      <c r="B37" s="6" t="s">
        <v>80</v>
      </c>
      <c r="C37" s="58">
        <f t="shared" si="32"/>
        <v>0.35962238416558534</v>
      </c>
    </row>
    <row r="38" spans="2:14">
      <c r="B38" s="6" t="s">
        <v>81</v>
      </c>
      <c r="C38" s="58">
        <f t="shared" si="32"/>
        <v>0.58547398725067956</v>
      </c>
      <c r="G38" s="2">
        <f>C25</f>
        <v>1.0013583097297623</v>
      </c>
    </row>
    <row r="39" spans="2:14">
      <c r="B39" s="6" t="s">
        <v>83</v>
      </c>
      <c r="C39" s="58">
        <f t="shared" si="32"/>
        <v>0.65485131280790765</v>
      </c>
    </row>
    <row r="40" spans="2:14">
      <c r="B40" s="6" t="s">
        <v>84</v>
      </c>
      <c r="C40" s="58">
        <f t="shared" si="32"/>
        <v>0.85280377237854865</v>
      </c>
    </row>
    <row r="41" spans="2:14">
      <c r="B41" s="6" t="s">
        <v>86</v>
      </c>
      <c r="C41" s="58">
        <f t="shared" si="32"/>
        <v>2.5949249093770447E-2</v>
      </c>
    </row>
    <row r="42" spans="2:14">
      <c r="B42" s="6" t="s">
        <v>88</v>
      </c>
      <c r="C42" s="58">
        <f t="shared" si="32"/>
        <v>2.5949249093770447E-2</v>
      </c>
    </row>
    <row r="43" spans="2:14">
      <c r="B43" s="6" t="s">
        <v>90</v>
      </c>
      <c r="C43" s="58">
        <f t="shared" si="32"/>
        <v>2.5949249093770447E-2</v>
      </c>
      <c r="K43" s="23" t="s">
        <v>101</v>
      </c>
      <c r="M43" s="2" t="s">
        <v>102</v>
      </c>
      <c r="N43" s="16">
        <f>1-N29</f>
        <v>3.0000000000000027E-2</v>
      </c>
    </row>
    <row r="44" spans="2:14">
      <c r="B44" s="6" t="s">
        <v>92</v>
      </c>
      <c r="C44" s="58">
        <f t="shared" si="32"/>
        <v>2.5949249093770447E-2</v>
      </c>
    </row>
    <row r="45" spans="2:14">
      <c r="B45" s="6" t="s">
        <v>1</v>
      </c>
      <c r="C45" s="58">
        <v>0.01</v>
      </c>
    </row>
    <row r="49" spans="1:44">
      <c r="A49" s="13" t="s">
        <v>103</v>
      </c>
    </row>
    <row r="50" spans="1:44">
      <c r="C50" s="24" t="s">
        <v>38</v>
      </c>
      <c r="D50" s="7"/>
      <c r="E50" s="7"/>
      <c r="F50" s="7" t="s">
        <v>39</v>
      </c>
      <c r="G50" s="7" t="s">
        <v>40</v>
      </c>
      <c r="H50" s="7" t="s">
        <v>41</v>
      </c>
      <c r="I50" s="7" t="s">
        <v>42</v>
      </c>
      <c r="J50" s="7" t="s">
        <v>43</v>
      </c>
      <c r="K50" s="7"/>
      <c r="L50" s="347" t="s">
        <v>44</v>
      </c>
      <c r="M50" s="348"/>
      <c r="N50" s="349"/>
      <c r="O50" s="345" t="s">
        <v>45</v>
      </c>
      <c r="P50" s="346"/>
      <c r="Q50" s="7" t="s">
        <v>46</v>
      </c>
      <c r="R50" s="25" t="s">
        <v>47</v>
      </c>
      <c r="S50" s="7" t="s">
        <v>48</v>
      </c>
      <c r="T50" s="25" t="s">
        <v>49</v>
      </c>
      <c r="U50" s="7" t="s">
        <v>50</v>
      </c>
    </row>
    <row r="51" spans="1:44">
      <c r="C51" s="26" t="s">
        <v>51</v>
      </c>
      <c r="D51" s="8" t="s">
        <v>52</v>
      </c>
      <c r="E51" s="8" t="s">
        <v>53</v>
      </c>
      <c r="F51" s="17" t="s">
        <v>54</v>
      </c>
      <c r="G51" s="17" t="s">
        <v>55</v>
      </c>
      <c r="H51" s="8" t="s">
        <v>56</v>
      </c>
      <c r="I51" s="8" t="s">
        <v>57</v>
      </c>
      <c r="J51" s="8" t="s">
        <v>58</v>
      </c>
      <c r="K51" s="8" t="s">
        <v>59</v>
      </c>
      <c r="L51" s="27" t="s">
        <v>60</v>
      </c>
      <c r="M51" s="27" t="s">
        <v>61</v>
      </c>
      <c r="N51" s="28" t="s">
        <v>62</v>
      </c>
      <c r="O51" s="19" t="s">
        <v>60</v>
      </c>
      <c r="P51" s="19" t="s">
        <v>63</v>
      </c>
      <c r="Q51" s="8" t="s">
        <v>64</v>
      </c>
      <c r="R51" s="29" t="s">
        <v>64</v>
      </c>
      <c r="S51" s="8" t="s">
        <v>65</v>
      </c>
      <c r="T51" s="29" t="s">
        <v>66</v>
      </c>
      <c r="U51" s="8" t="s">
        <v>67</v>
      </c>
    </row>
    <row r="52" spans="1:44">
      <c r="B52" s="6" t="s">
        <v>68</v>
      </c>
      <c r="C52" s="35">
        <f>'Flash B'!J14</f>
        <v>1.2355472481739157E-2</v>
      </c>
      <c r="D52" s="6" t="s">
        <v>4</v>
      </c>
      <c r="E52" s="18">
        <v>28.013000000000002</v>
      </c>
      <c r="F52" s="18">
        <v>-297.33199999999999</v>
      </c>
      <c r="G52" s="6"/>
      <c r="H52" s="20">
        <v>-346</v>
      </c>
      <c r="I52" s="20">
        <v>493</v>
      </c>
      <c r="J52" s="20">
        <v>-232.7</v>
      </c>
      <c r="K52" s="19">
        <v>0.99997000000000003</v>
      </c>
      <c r="L52" s="30">
        <v>0.80940000000000001</v>
      </c>
      <c r="M52" s="28">
        <f>L52*$M$24</f>
        <v>6.7479677999999996</v>
      </c>
      <c r="N52" s="28">
        <f t="shared" ref="N52:N54" si="33">E52/M52</f>
        <v>4.1513238993226977</v>
      </c>
      <c r="O52" s="19">
        <v>0.55400000000000005</v>
      </c>
      <c r="P52" s="19">
        <f>13.102/O52</f>
        <v>23.649819494584836</v>
      </c>
      <c r="Q52" s="6">
        <v>0.24840000000000001</v>
      </c>
      <c r="R52" s="27"/>
      <c r="S52" s="6"/>
      <c r="T52" s="27"/>
      <c r="U52" s="6"/>
      <c r="AC52" s="2">
        <f t="shared" ref="AC52:AR67" si="34">E52*$C52</f>
        <v>0.34611385063095901</v>
      </c>
      <c r="AD52" s="2">
        <f t="shared" si="34"/>
        <v>-3.6736773439404669</v>
      </c>
      <c r="AE52" s="2">
        <f t="shared" si="34"/>
        <v>0</v>
      </c>
      <c r="AF52" s="2">
        <f t="shared" si="34"/>
        <v>-4.2749934786817478</v>
      </c>
      <c r="AG52" s="2">
        <f t="shared" si="34"/>
        <v>6.0912479334974039</v>
      </c>
      <c r="AH52" s="2">
        <f t="shared" si="34"/>
        <v>-2.8751184465007014</v>
      </c>
      <c r="AI52" s="2">
        <f t="shared" si="34"/>
        <v>1.2355101817564705E-2</v>
      </c>
      <c r="AJ52" s="2">
        <f t="shared" si="34"/>
        <v>1.0000519426719673E-2</v>
      </c>
      <c r="AK52" s="2">
        <f t="shared" si="34"/>
        <v>8.3374330460561918E-2</v>
      </c>
      <c r="AL52" s="2">
        <f t="shared" si="34"/>
        <v>5.1291568200867686E-2</v>
      </c>
      <c r="AM52" s="2">
        <f t="shared" si="34"/>
        <v>6.8449317548834937E-3</v>
      </c>
      <c r="AN52" s="2">
        <f t="shared" si="34"/>
        <v>0.29220469396344118</v>
      </c>
      <c r="AO52" s="2">
        <f t="shared" si="34"/>
        <v>3.0690993644640068E-3</v>
      </c>
      <c r="AP52" s="2">
        <f t="shared" si="34"/>
        <v>0</v>
      </c>
      <c r="AQ52" s="2">
        <f t="shared" si="34"/>
        <v>0</v>
      </c>
      <c r="AR52" s="2">
        <f t="shared" si="34"/>
        <v>0</v>
      </c>
    </row>
    <row r="53" spans="1:44">
      <c r="B53" s="6" t="s">
        <v>69</v>
      </c>
      <c r="C53" s="35">
        <f>'Flash B'!J15</f>
        <v>5.6105899673287773E-2</v>
      </c>
      <c r="D53" s="6" t="s">
        <v>70</v>
      </c>
      <c r="E53" s="18">
        <v>44.01</v>
      </c>
      <c r="F53" s="18">
        <v>-109.32</v>
      </c>
      <c r="G53" s="6"/>
      <c r="H53" s="20">
        <v>-69.77</v>
      </c>
      <c r="I53" s="20">
        <v>1071</v>
      </c>
      <c r="J53" s="20">
        <v>87.87</v>
      </c>
      <c r="K53" s="19">
        <v>0.99429999999999996</v>
      </c>
      <c r="L53" s="30">
        <v>0.81759999999999999</v>
      </c>
      <c r="M53" s="28">
        <f t="shared" ref="M53:M66" si="35">L53*$M$24</f>
        <v>6.8163311999999996</v>
      </c>
      <c r="N53" s="28">
        <f t="shared" si="33"/>
        <v>6.4565524632957976</v>
      </c>
      <c r="O53" s="19">
        <v>1.53</v>
      </c>
      <c r="P53" s="19">
        <f t="shared" ref="P53:P54" si="36">13.102/O53</f>
        <v>8.5633986928104573</v>
      </c>
      <c r="Q53" s="6">
        <v>0.19900000000000001</v>
      </c>
      <c r="R53" s="27"/>
      <c r="S53" s="6"/>
      <c r="T53" s="27"/>
      <c r="U53" s="6"/>
      <c r="AC53" s="2">
        <f t="shared" si="34"/>
        <v>2.4692206446213949</v>
      </c>
      <c r="AD53" s="2">
        <f t="shared" si="34"/>
        <v>-6.133496952283819</v>
      </c>
      <c r="AE53" s="2">
        <f t="shared" si="34"/>
        <v>0</v>
      </c>
      <c r="AF53" s="2">
        <f t="shared" si="34"/>
        <v>-3.9145086202052877</v>
      </c>
      <c r="AG53" s="2">
        <f t="shared" si="34"/>
        <v>60.089418550091203</v>
      </c>
      <c r="AH53" s="2">
        <f t="shared" si="34"/>
        <v>4.930025404291797</v>
      </c>
      <c r="AI53" s="2">
        <f t="shared" si="34"/>
        <v>5.578609604515003E-2</v>
      </c>
      <c r="AJ53" s="2">
        <f t="shared" si="34"/>
        <v>4.5872183572880081E-2</v>
      </c>
      <c r="AK53" s="2">
        <f t="shared" si="34"/>
        <v>0.38243639444710126</v>
      </c>
      <c r="AL53" s="2">
        <f t="shared" si="34"/>
        <v>0.36225068474099303</v>
      </c>
      <c r="AM53" s="2">
        <f t="shared" si="34"/>
        <v>8.58420265001303E-2</v>
      </c>
      <c r="AN53" s="2">
        <f t="shared" si="34"/>
        <v>0.48045718792118719</v>
      </c>
      <c r="AO53" s="2">
        <f t="shared" si="34"/>
        <v>1.1165074034984268E-2</v>
      </c>
      <c r="AP53" s="2">
        <f t="shared" si="34"/>
        <v>0</v>
      </c>
      <c r="AQ53" s="2">
        <f t="shared" si="34"/>
        <v>0</v>
      </c>
      <c r="AR53" s="2">
        <f t="shared" si="34"/>
        <v>0</v>
      </c>
    </row>
    <row r="54" spans="1:44">
      <c r="B54" s="6" t="s">
        <v>71</v>
      </c>
      <c r="C54" s="35">
        <f>'Flash B'!J16</f>
        <v>9.4714861443254252E-7</v>
      </c>
      <c r="D54" s="6" t="s">
        <v>2</v>
      </c>
      <c r="E54" s="18">
        <v>34.076000000000001</v>
      </c>
      <c r="F54" s="18">
        <v>-76.56</v>
      </c>
      <c r="G54" s="6">
        <v>387.1</v>
      </c>
      <c r="H54" s="20">
        <v>-121.58</v>
      </c>
      <c r="I54" s="20">
        <v>1036</v>
      </c>
      <c r="J54" s="20">
        <v>212.6</v>
      </c>
      <c r="K54" s="19">
        <v>0.99029999999999996</v>
      </c>
      <c r="L54" s="30">
        <v>0.78710000000000002</v>
      </c>
      <c r="M54" s="28">
        <f t="shared" si="35"/>
        <v>6.5620526999999997</v>
      </c>
      <c r="N54" s="28">
        <f t="shared" si="33"/>
        <v>5.1928872805303747</v>
      </c>
      <c r="O54" s="19">
        <v>1.3</v>
      </c>
      <c r="P54" s="19">
        <f t="shared" si="36"/>
        <v>10.078461538461537</v>
      </c>
      <c r="Q54" s="6">
        <v>0.2379</v>
      </c>
      <c r="R54" s="27">
        <v>0.49680000000000002</v>
      </c>
      <c r="S54" s="6">
        <v>637</v>
      </c>
      <c r="T54" s="27"/>
      <c r="U54" s="6"/>
      <c r="AC54" s="2">
        <f t="shared" si="34"/>
        <v>3.2275036185403319E-5</v>
      </c>
      <c r="AD54" s="2">
        <f t="shared" si="34"/>
        <v>-7.2513697920955459E-5</v>
      </c>
      <c r="AE54" s="2">
        <f t="shared" si="34"/>
        <v>3.6664122864683721E-4</v>
      </c>
      <c r="AF54" s="2">
        <f t="shared" si="34"/>
        <v>-1.1515432854270852E-4</v>
      </c>
      <c r="AG54" s="2">
        <f t="shared" si="34"/>
        <v>9.8124596455211413E-4</v>
      </c>
      <c r="AH54" s="2">
        <f t="shared" si="34"/>
        <v>2.0136379542835855E-4</v>
      </c>
      <c r="AI54" s="2">
        <f t="shared" si="34"/>
        <v>9.3796127287254682E-7</v>
      </c>
      <c r="AJ54" s="2">
        <f t="shared" si="34"/>
        <v>7.4550067441985423E-7</v>
      </c>
      <c r="AK54" s="2">
        <f t="shared" si="34"/>
        <v>6.2152391226383245E-6</v>
      </c>
      <c r="AL54" s="2">
        <f t="shared" si="34"/>
        <v>4.9184359926587184E-6</v>
      </c>
      <c r="AM54" s="2">
        <f t="shared" si="34"/>
        <v>1.2312931987623054E-6</v>
      </c>
      <c r="AN54" s="2">
        <f t="shared" si="34"/>
        <v>9.5458008817655156E-6</v>
      </c>
      <c r="AO54" s="2">
        <f t="shared" si="34"/>
        <v>2.2532665537350186E-7</v>
      </c>
      <c r="AP54" s="2">
        <f t="shared" si="34"/>
        <v>4.7054343165008713E-7</v>
      </c>
      <c r="AQ54" s="2">
        <f t="shared" si="34"/>
        <v>6.0333366739352961E-4</v>
      </c>
      <c r="AR54" s="2">
        <f t="shared" si="34"/>
        <v>0</v>
      </c>
    </row>
    <row r="55" spans="1:44">
      <c r="B55" s="6" t="s">
        <v>72</v>
      </c>
      <c r="C55" s="35">
        <f>'Flash B'!J17</f>
        <v>0.76865763775262896</v>
      </c>
      <c r="D55" s="6" t="s">
        <v>73</v>
      </c>
      <c r="E55" s="18">
        <v>16.042999999999999</v>
      </c>
      <c r="F55" s="18">
        <v>-258.7</v>
      </c>
      <c r="G55" s="6">
        <v>5000</v>
      </c>
      <c r="H55" s="20">
        <v>-296.5</v>
      </c>
      <c r="I55" s="20">
        <v>667.8</v>
      </c>
      <c r="J55" s="20">
        <v>-116.68</v>
      </c>
      <c r="K55" s="19">
        <v>0.99809999999999999</v>
      </c>
      <c r="L55" s="30">
        <v>0.3</v>
      </c>
      <c r="M55" s="28">
        <f t="shared" si="35"/>
        <v>2.5010999999999997</v>
      </c>
      <c r="N55" s="28">
        <f>E55/M55</f>
        <v>6.4143776738235179</v>
      </c>
      <c r="O55" s="19">
        <v>0.55389999999999995</v>
      </c>
      <c r="P55" s="19">
        <f>13.102/O55</f>
        <v>23.654089185773607</v>
      </c>
      <c r="Q55" s="6">
        <v>0.52659999999999996</v>
      </c>
      <c r="R55" s="27"/>
      <c r="S55" s="6">
        <v>1009.7</v>
      </c>
      <c r="T55" s="27"/>
      <c r="U55" s="6"/>
      <c r="AC55" s="2">
        <f t="shared" si="34"/>
        <v>12.331574482465426</v>
      </c>
      <c r="AD55" s="2">
        <f t="shared" si="34"/>
        <v>-198.85173088660511</v>
      </c>
      <c r="AE55" s="2">
        <f t="shared" si="34"/>
        <v>3843.2881887631447</v>
      </c>
      <c r="AF55" s="2">
        <f t="shared" si="34"/>
        <v>-227.90698959365449</v>
      </c>
      <c r="AG55" s="2">
        <f t="shared" si="34"/>
        <v>513.30957049120559</v>
      </c>
      <c r="AH55" s="2">
        <f t="shared" si="34"/>
        <v>-89.686973172976749</v>
      </c>
      <c r="AI55" s="2">
        <f t="shared" si="34"/>
        <v>0.767197188240899</v>
      </c>
      <c r="AJ55" s="2">
        <f t="shared" si="34"/>
        <v>0.23059729132578868</v>
      </c>
      <c r="AK55" s="2">
        <f t="shared" si="34"/>
        <v>1.9224896177831001</v>
      </c>
      <c r="AL55" s="2">
        <f t="shared" si="34"/>
        <v>4.930460390414388</v>
      </c>
      <c r="AM55" s="2">
        <f t="shared" si="34"/>
        <v>0.42575946555118116</v>
      </c>
      <c r="AN55" s="2">
        <f t="shared" si="34"/>
        <v>18.181896316726746</v>
      </c>
      <c r="AO55" s="2">
        <f t="shared" si="34"/>
        <v>0.4047751120405344</v>
      </c>
      <c r="AP55" s="2">
        <f t="shared" si="34"/>
        <v>0</v>
      </c>
      <c r="AQ55" s="2">
        <f t="shared" si="34"/>
        <v>776.11361683882944</v>
      </c>
      <c r="AR55" s="2">
        <f t="shared" si="34"/>
        <v>0</v>
      </c>
    </row>
    <row r="56" spans="1:44">
      <c r="B56" s="6" t="s">
        <v>74</v>
      </c>
      <c r="C56" s="35">
        <f>'Flash B'!J18</f>
        <v>0.10340260489090039</v>
      </c>
      <c r="D56" s="6" t="s">
        <v>75</v>
      </c>
      <c r="E56" s="18">
        <v>30.7</v>
      </c>
      <c r="F56" s="18">
        <v>-127.44</v>
      </c>
      <c r="G56" s="6">
        <v>800</v>
      </c>
      <c r="H56" s="20">
        <v>-297.04000000000002</v>
      </c>
      <c r="I56" s="20">
        <v>707.8</v>
      </c>
      <c r="J56" s="20">
        <v>90.1</v>
      </c>
      <c r="K56" s="19">
        <v>0.99609999999999999</v>
      </c>
      <c r="L56" s="30">
        <v>0.35630000000000001</v>
      </c>
      <c r="M56" s="28">
        <f t="shared" si="35"/>
        <v>2.9704731</v>
      </c>
      <c r="N56" s="28">
        <f t="shared" ref="N56:N67" si="37">E56/M56</f>
        <v>10.335054035668595</v>
      </c>
      <c r="O56" s="19">
        <v>1.0382</v>
      </c>
      <c r="P56" s="19">
        <f t="shared" ref="P56:P68" si="38">13.102/O56</f>
        <v>12.619919090733962</v>
      </c>
      <c r="Q56" s="6">
        <v>0.40799999999999997</v>
      </c>
      <c r="R56" s="27">
        <v>0.92559999999999998</v>
      </c>
      <c r="S56" s="6">
        <v>1768</v>
      </c>
      <c r="T56" s="27">
        <v>65889</v>
      </c>
      <c r="U56" s="6">
        <f>N56*C56/0.3795</f>
        <v>2.8159987061300269</v>
      </c>
      <c r="AC56" s="2">
        <f t="shared" si="34"/>
        <v>3.1744599701506417</v>
      </c>
      <c r="AD56" s="2">
        <f t="shared" si="34"/>
        <v>-13.177627967296345</v>
      </c>
      <c r="AE56" s="2">
        <f t="shared" si="34"/>
        <v>82.722083912720308</v>
      </c>
      <c r="AF56" s="2">
        <f t="shared" si="34"/>
        <v>-30.714709756793056</v>
      </c>
      <c r="AG56" s="2">
        <f t="shared" si="34"/>
        <v>73.188363741779298</v>
      </c>
      <c r="AH56" s="2">
        <f t="shared" si="34"/>
        <v>9.3165747006701238</v>
      </c>
      <c r="AI56" s="2">
        <f t="shared" si="34"/>
        <v>0.10299933473182588</v>
      </c>
      <c r="AJ56" s="2">
        <f t="shared" si="34"/>
        <v>3.6842348122627808E-2</v>
      </c>
      <c r="AK56" s="2">
        <f t="shared" si="34"/>
        <v>0.30715465629834804</v>
      </c>
      <c r="AL56" s="2">
        <f t="shared" si="34"/>
        <v>1.0686715089763452</v>
      </c>
      <c r="AM56" s="2">
        <f t="shared" si="34"/>
        <v>0.10735258439773279</v>
      </c>
      <c r="AN56" s="2">
        <f t="shared" si="34"/>
        <v>1.3049325074942948</v>
      </c>
      <c r="AO56" s="2">
        <f t="shared" si="34"/>
        <v>4.2188262795487354E-2</v>
      </c>
      <c r="AP56" s="2">
        <f t="shared" si="34"/>
        <v>9.5709451087017394E-2</v>
      </c>
      <c r="AQ56" s="2">
        <f t="shared" si="34"/>
        <v>182.8158054471119</v>
      </c>
      <c r="AR56" s="2">
        <f t="shared" si="34"/>
        <v>6813.0942336565358</v>
      </c>
    </row>
    <row r="57" spans="1:44">
      <c r="B57" s="6" t="s">
        <v>76</v>
      </c>
      <c r="C57" s="35">
        <f>'Flash B'!J19</f>
        <v>4.4198706968650608E-2</v>
      </c>
      <c r="D57" s="6" t="s">
        <v>77</v>
      </c>
      <c r="E57" s="18">
        <v>44.097000000000001</v>
      </c>
      <c r="F57" s="18">
        <v>-43.73</v>
      </c>
      <c r="G57" s="6">
        <v>188</v>
      </c>
      <c r="H57" s="20">
        <v>-305.82</v>
      </c>
      <c r="I57" s="20">
        <v>616.29999999999995</v>
      </c>
      <c r="J57" s="20">
        <v>206.1</v>
      </c>
      <c r="K57" s="19">
        <v>0.98080000000000001</v>
      </c>
      <c r="L57" s="30">
        <v>0.50749999999999995</v>
      </c>
      <c r="M57" s="28">
        <f t="shared" si="35"/>
        <v>4.2310274999999997</v>
      </c>
      <c r="N57" s="28">
        <f t="shared" si="37"/>
        <v>10.422291039233379</v>
      </c>
      <c r="O57" s="19">
        <v>1.5225</v>
      </c>
      <c r="P57" s="19">
        <f t="shared" si="38"/>
        <v>8.6055829228243024</v>
      </c>
      <c r="Q57" s="6">
        <v>0.38869999999999999</v>
      </c>
      <c r="R57" s="27">
        <v>0.59019999999999995</v>
      </c>
      <c r="S57" s="6">
        <v>2517</v>
      </c>
      <c r="T57" s="27">
        <v>90962</v>
      </c>
      <c r="U57" s="6">
        <f t="shared" ref="U57:U66" si="39">N57*C57/0.3795</f>
        <v>1.2138387024639503</v>
      </c>
      <c r="AC57" s="2">
        <f t="shared" si="34"/>
        <v>1.9490303811965859</v>
      </c>
      <c r="AD57" s="2">
        <f t="shared" si="34"/>
        <v>-1.9328094557390909</v>
      </c>
      <c r="AE57" s="2">
        <f t="shared" si="34"/>
        <v>8.3093569101063149</v>
      </c>
      <c r="AF57" s="2">
        <f t="shared" si="34"/>
        <v>-13.516848565152729</v>
      </c>
      <c r="AG57" s="2">
        <f t="shared" si="34"/>
        <v>27.239663104779368</v>
      </c>
      <c r="AH57" s="2">
        <f t="shared" si="34"/>
        <v>9.1093535062388895</v>
      </c>
      <c r="AI57" s="2">
        <f t="shared" si="34"/>
        <v>4.3350091794852517E-2</v>
      </c>
      <c r="AJ57" s="2">
        <f t="shared" si="34"/>
        <v>2.2430843786590181E-2</v>
      </c>
      <c r="AK57" s="2">
        <f t="shared" si="34"/>
        <v>0.18700594464880235</v>
      </c>
      <c r="AL57" s="2">
        <f t="shared" si="34"/>
        <v>0.46065178758506914</v>
      </c>
      <c r="AM57" s="2">
        <f t="shared" si="34"/>
        <v>6.7292531359770549E-2</v>
      </c>
      <c r="AN57" s="2">
        <f t="shared" si="34"/>
        <v>0.38035563790033516</v>
      </c>
      <c r="AO57" s="2">
        <f t="shared" si="34"/>
        <v>1.7180037398714491E-2</v>
      </c>
      <c r="AP57" s="2">
        <f t="shared" si="34"/>
        <v>2.6086076852897586E-2</v>
      </c>
      <c r="AQ57" s="2">
        <f t="shared" si="34"/>
        <v>111.24814544009358</v>
      </c>
      <c r="AR57" s="2">
        <f t="shared" si="34"/>
        <v>4020.4027832823967</v>
      </c>
    </row>
    <row r="58" spans="1:44">
      <c r="B58" s="6" t="s">
        <v>78</v>
      </c>
      <c r="C58" s="35">
        <f>'Flash B'!J20</f>
        <v>4.7794640033945891E-3</v>
      </c>
      <c r="D58" s="6" t="s">
        <v>79</v>
      </c>
      <c r="E58" s="18">
        <v>58.124000000000002</v>
      </c>
      <c r="F58" s="18">
        <v>10.74</v>
      </c>
      <c r="G58" s="6">
        <v>72.39</v>
      </c>
      <c r="H58" s="20">
        <v>-255.28</v>
      </c>
      <c r="I58" s="20">
        <v>529.1</v>
      </c>
      <c r="J58" s="20">
        <v>274.95999999999998</v>
      </c>
      <c r="K58" s="19">
        <v>0.96609999999999996</v>
      </c>
      <c r="L58" s="30">
        <v>0.56299999999999994</v>
      </c>
      <c r="M58" s="28">
        <f t="shared" si="35"/>
        <v>4.6937309999999997</v>
      </c>
      <c r="N58" s="28">
        <f t="shared" si="37"/>
        <v>12.383325759401211</v>
      </c>
      <c r="O58" s="19">
        <v>2.0068000000000001</v>
      </c>
      <c r="P58" s="19">
        <f t="shared" si="38"/>
        <v>6.5288020729519634</v>
      </c>
      <c r="Q58" s="6">
        <v>0.38669999999999999</v>
      </c>
      <c r="R58" s="27">
        <v>0.56599999999999995</v>
      </c>
      <c r="S58" s="6">
        <v>3252</v>
      </c>
      <c r="T58" s="27">
        <v>98968</v>
      </c>
      <c r="U58" s="6">
        <f t="shared" si="39"/>
        <v>0.15595694258067735</v>
      </c>
      <c r="AC58" s="2">
        <f t="shared" si="34"/>
        <v>0.27780156573330711</v>
      </c>
      <c r="AD58" s="2">
        <f t="shared" si="34"/>
        <v>5.1331443396457885E-2</v>
      </c>
      <c r="AE58" s="2">
        <f t="shared" si="34"/>
        <v>0.34598539920573429</v>
      </c>
      <c r="AF58" s="2">
        <f t="shared" si="34"/>
        <v>-1.2201015707865708</v>
      </c>
      <c r="AG58" s="2">
        <f t="shared" si="34"/>
        <v>2.5288144041960772</v>
      </c>
      <c r="AH58" s="2">
        <f t="shared" si="34"/>
        <v>1.3141614223733762</v>
      </c>
      <c r="AI58" s="2">
        <f t="shared" si="34"/>
        <v>4.6174401736795122E-3</v>
      </c>
      <c r="AJ58" s="2">
        <f t="shared" si="34"/>
        <v>2.6908382339111536E-3</v>
      </c>
      <c r="AK58" s="2">
        <f t="shared" si="34"/>
        <v>2.2433518356117288E-2</v>
      </c>
      <c r="AL58" s="2">
        <f t="shared" si="34"/>
        <v>5.9185659709367053E-2</v>
      </c>
      <c r="AM58" s="2">
        <f t="shared" si="34"/>
        <v>9.5914283620122612E-3</v>
      </c>
      <c r="AN58" s="2">
        <f t="shared" si="34"/>
        <v>3.1204174492961884E-2</v>
      </c>
      <c r="AO58" s="2">
        <f t="shared" si="34"/>
        <v>1.8482187301126875E-3</v>
      </c>
      <c r="AP58" s="2">
        <f t="shared" si="34"/>
        <v>2.705176625921337E-3</v>
      </c>
      <c r="AQ58" s="2">
        <f t="shared" si="34"/>
        <v>15.542816939039204</v>
      </c>
      <c r="AR58" s="2">
        <f t="shared" si="34"/>
        <v>473.0139934879557</v>
      </c>
    </row>
    <row r="59" spans="1:44">
      <c r="B59" s="6" t="s">
        <v>80</v>
      </c>
      <c r="C59" s="35">
        <f>'Flash B'!J21</f>
        <v>9.4219325010989671E-3</v>
      </c>
      <c r="D59" s="6" t="s">
        <v>79</v>
      </c>
      <c r="E59" s="18">
        <v>58.124000000000002</v>
      </c>
      <c r="F59" s="18">
        <v>31.12</v>
      </c>
      <c r="G59" s="6">
        <v>51.54</v>
      </c>
      <c r="H59" s="20">
        <v>-217.05</v>
      </c>
      <c r="I59" s="20">
        <v>550.70000000000005</v>
      </c>
      <c r="J59" s="20">
        <v>305.62</v>
      </c>
      <c r="K59" s="19">
        <v>0.93669999999999998</v>
      </c>
      <c r="L59" s="30">
        <v>0.58430000000000004</v>
      </c>
      <c r="M59" s="28">
        <f t="shared" si="35"/>
        <v>4.8713091000000004</v>
      </c>
      <c r="N59" s="28">
        <f t="shared" si="37"/>
        <v>11.931905532334213</v>
      </c>
      <c r="O59" s="19">
        <v>2.0068000000000001</v>
      </c>
      <c r="P59" s="19">
        <f t="shared" si="38"/>
        <v>6.5288020729519634</v>
      </c>
      <c r="Q59" s="6">
        <v>0.39510000000000001</v>
      </c>
      <c r="R59" s="27">
        <v>0.56599999999999995</v>
      </c>
      <c r="S59" s="6">
        <v>3262</v>
      </c>
      <c r="T59" s="27">
        <v>102918</v>
      </c>
      <c r="U59" s="6">
        <f t="shared" si="39"/>
        <v>0.2962361226222458</v>
      </c>
      <c r="AC59" s="2">
        <f t="shared" si="34"/>
        <v>0.54764040469387643</v>
      </c>
      <c r="AD59" s="2">
        <f t="shared" si="34"/>
        <v>0.29321053943419989</v>
      </c>
      <c r="AE59" s="2">
        <f t="shared" si="34"/>
        <v>0.48560640110664077</v>
      </c>
      <c r="AF59" s="2">
        <f t="shared" si="34"/>
        <v>-2.045030449363531</v>
      </c>
      <c r="AG59" s="2">
        <f t="shared" si="34"/>
        <v>5.1886582283552016</v>
      </c>
      <c r="AH59" s="2">
        <f t="shared" si="34"/>
        <v>2.8795310109858665</v>
      </c>
      <c r="AI59" s="2">
        <f t="shared" si="34"/>
        <v>8.8255241737794018E-3</v>
      </c>
      <c r="AJ59" s="2">
        <f t="shared" si="34"/>
        <v>5.5052351603921265E-3</v>
      </c>
      <c r="AK59" s="2">
        <f t="shared" si="34"/>
        <v>4.5897145532189161E-2</v>
      </c>
      <c r="AL59" s="2">
        <f t="shared" si="34"/>
        <v>0.11242160853514228</v>
      </c>
      <c r="AM59" s="2">
        <f t="shared" si="34"/>
        <v>1.8907934143205407E-2</v>
      </c>
      <c r="AN59" s="2">
        <f t="shared" si="34"/>
        <v>6.1513932444388415E-2</v>
      </c>
      <c r="AO59" s="2">
        <f t="shared" si="34"/>
        <v>3.722605531184202E-3</v>
      </c>
      <c r="AP59" s="2">
        <f t="shared" si="34"/>
        <v>5.3328137956220149E-3</v>
      </c>
      <c r="AQ59" s="2">
        <f t="shared" si="34"/>
        <v>30.734343818584829</v>
      </c>
      <c r="AR59" s="2">
        <f t="shared" si="34"/>
        <v>969.68644914810352</v>
      </c>
    </row>
    <row r="60" spans="1:44">
      <c r="B60" s="6" t="s">
        <v>81</v>
      </c>
      <c r="C60" s="35">
        <f>'Flash B'!J22</f>
        <v>1.409631522786008E-3</v>
      </c>
      <c r="D60" s="6" t="s">
        <v>82</v>
      </c>
      <c r="E60" s="18">
        <v>72.150999999999996</v>
      </c>
      <c r="F60" s="18">
        <v>82.11</v>
      </c>
      <c r="G60" s="6">
        <v>20.443999999999999</v>
      </c>
      <c r="H60" s="20">
        <v>-255.82</v>
      </c>
      <c r="I60" s="20">
        <v>490.4</v>
      </c>
      <c r="J60" s="20">
        <v>369.03</v>
      </c>
      <c r="K60" s="19">
        <v>0.94799999999999995</v>
      </c>
      <c r="L60" s="30">
        <v>0.62439999999999996</v>
      </c>
      <c r="M60" s="28">
        <f t="shared" si="35"/>
        <v>5.2056227999999996</v>
      </c>
      <c r="N60" s="28">
        <f t="shared" si="37"/>
        <v>13.860205161234502</v>
      </c>
      <c r="O60" s="19">
        <v>2.4910999999999999</v>
      </c>
      <c r="P60" s="19">
        <f t="shared" si="38"/>
        <v>5.2595239051021645</v>
      </c>
      <c r="Q60" s="6">
        <v>0.38290000000000002</v>
      </c>
      <c r="R60" s="27">
        <v>0.5353</v>
      </c>
      <c r="S60" s="6">
        <v>4000</v>
      </c>
      <c r="T60" s="27">
        <v>108722</v>
      </c>
      <c r="U60" s="6">
        <f t="shared" si="39"/>
        <v>5.1482956805158041E-2</v>
      </c>
      <c r="AC60" s="2">
        <f t="shared" si="34"/>
        <v>0.10170632400053325</v>
      </c>
      <c r="AD60" s="2">
        <f t="shared" si="34"/>
        <v>0.11574484433595912</v>
      </c>
      <c r="AE60" s="2">
        <f t="shared" si="34"/>
        <v>2.8818506851837147E-2</v>
      </c>
      <c r="AF60" s="2">
        <f t="shared" si="34"/>
        <v>-0.36061193615911658</v>
      </c>
      <c r="AG60" s="2">
        <f t="shared" si="34"/>
        <v>0.69128329877425831</v>
      </c>
      <c r="AH60" s="2">
        <f t="shared" si="34"/>
        <v>0.52019632085372047</v>
      </c>
      <c r="AI60" s="2">
        <f t="shared" si="34"/>
        <v>1.3363306836011355E-3</v>
      </c>
      <c r="AJ60" s="2">
        <f t="shared" si="34"/>
        <v>8.8017392282758338E-4</v>
      </c>
      <c r="AK60" s="2">
        <f t="shared" si="34"/>
        <v>7.338009994613562E-3</v>
      </c>
      <c r="AL60" s="2">
        <f t="shared" si="34"/>
        <v>1.9537782107557477E-2</v>
      </c>
      <c r="AM60" s="2">
        <f t="shared" si="34"/>
        <v>3.5115330864122244E-3</v>
      </c>
      <c r="AN60" s="2">
        <f t="shared" si="34"/>
        <v>7.4139906914785754E-3</v>
      </c>
      <c r="AO60" s="2">
        <f t="shared" si="34"/>
        <v>5.3974791007476244E-4</v>
      </c>
      <c r="AP60" s="2">
        <f t="shared" si="34"/>
        <v>7.545757541473501E-4</v>
      </c>
      <c r="AQ60" s="2">
        <f t="shared" si="34"/>
        <v>5.6385260911440325</v>
      </c>
      <c r="AR60" s="2">
        <f t="shared" si="34"/>
        <v>153.25795842034037</v>
      </c>
    </row>
    <row r="61" spans="1:44">
      <c r="B61" s="6" t="s">
        <v>83</v>
      </c>
      <c r="C61" s="35">
        <f>'Flash B'!J23</f>
        <v>1.2264101016952447E-3</v>
      </c>
      <c r="D61" s="6" t="s">
        <v>82</v>
      </c>
      <c r="E61" s="18">
        <v>72.150999999999996</v>
      </c>
      <c r="F61" s="18">
        <v>96.91</v>
      </c>
      <c r="G61" s="6">
        <v>15.574999999999999</v>
      </c>
      <c r="H61" s="20">
        <v>-201.51</v>
      </c>
      <c r="I61" s="20">
        <v>488.6</v>
      </c>
      <c r="J61" s="20">
        <v>385.6</v>
      </c>
      <c r="K61" s="19">
        <v>0.94199999999999995</v>
      </c>
      <c r="L61" s="30">
        <v>0.63109999999999999</v>
      </c>
      <c r="M61" s="28">
        <f t="shared" si="35"/>
        <v>5.2614806999999999</v>
      </c>
      <c r="N61" s="28">
        <f t="shared" si="37"/>
        <v>13.713059899659044</v>
      </c>
      <c r="O61" s="19">
        <v>2.4910999999999999</v>
      </c>
      <c r="P61" s="19">
        <f t="shared" si="38"/>
        <v>5.2595239051021645</v>
      </c>
      <c r="Q61" s="6">
        <v>0.39900000000000002</v>
      </c>
      <c r="R61" s="27">
        <v>0.54800000000000004</v>
      </c>
      <c r="S61" s="6">
        <v>4008</v>
      </c>
      <c r="T61" s="27">
        <v>110071</v>
      </c>
      <c r="U61" s="6">
        <f t="shared" si="39"/>
        <v>4.4315771241353968E-2</v>
      </c>
      <c r="AC61" s="2">
        <f t="shared" si="34"/>
        <v>8.8486715247413597E-2</v>
      </c>
      <c r="AD61" s="2">
        <f t="shared" si="34"/>
        <v>0.11885140295528616</v>
      </c>
      <c r="AE61" s="2">
        <f t="shared" si="34"/>
        <v>1.9101337333903436E-2</v>
      </c>
      <c r="AF61" s="2">
        <f t="shared" si="34"/>
        <v>-0.24713389959260876</v>
      </c>
      <c r="AG61" s="2">
        <f t="shared" si="34"/>
        <v>0.59922397568829655</v>
      </c>
      <c r="AH61" s="2">
        <f t="shared" si="34"/>
        <v>0.47290373521368639</v>
      </c>
      <c r="AI61" s="2">
        <f t="shared" si="34"/>
        <v>1.1552783157969205E-3</v>
      </c>
      <c r="AJ61" s="2">
        <f t="shared" si="34"/>
        <v>7.7398741517986896E-4</v>
      </c>
      <c r="AK61" s="2">
        <f t="shared" si="34"/>
        <v>6.4527330803545672E-3</v>
      </c>
      <c r="AL61" s="2">
        <f t="shared" si="34"/>
        <v>1.6817835186093831E-2</v>
      </c>
      <c r="AM61" s="2">
        <f t="shared" si="34"/>
        <v>3.0551102043330238E-3</v>
      </c>
      <c r="AN61" s="2">
        <f t="shared" si="34"/>
        <v>6.4503332473249166E-3</v>
      </c>
      <c r="AO61" s="2">
        <f t="shared" si="34"/>
        <v>4.8933763057640268E-4</v>
      </c>
      <c r="AP61" s="2">
        <f t="shared" si="34"/>
        <v>6.7207273572899412E-4</v>
      </c>
      <c r="AQ61" s="2">
        <f t="shared" si="34"/>
        <v>4.9154516875945404</v>
      </c>
      <c r="AR61" s="2">
        <f t="shared" si="34"/>
        <v>134.99218630369728</v>
      </c>
    </row>
    <row r="62" spans="1:44">
      <c r="B62" s="6" t="s">
        <v>84</v>
      </c>
      <c r="C62" s="35">
        <f>'Flash B'!J24</f>
        <v>5.5587336789872095E-4</v>
      </c>
      <c r="D62" s="6" t="s">
        <v>85</v>
      </c>
      <c r="E62" s="18">
        <v>86.177999999999997</v>
      </c>
      <c r="F62" s="18">
        <v>155.72999999999999</v>
      </c>
      <c r="G62" s="6">
        <v>4.96</v>
      </c>
      <c r="H62" s="20">
        <v>-139.58000000000001</v>
      </c>
      <c r="I62" s="20">
        <v>710.4</v>
      </c>
      <c r="J62" s="20">
        <v>453.6</v>
      </c>
      <c r="K62" s="19">
        <v>0.91</v>
      </c>
      <c r="L62" s="30">
        <v>0.66400000000000003</v>
      </c>
      <c r="M62" s="28">
        <f t="shared" si="35"/>
        <v>5.535768</v>
      </c>
      <c r="N62" s="28">
        <f t="shared" si="37"/>
        <v>15.567487654829465</v>
      </c>
      <c r="O62" s="19">
        <v>2.9752999999999998</v>
      </c>
      <c r="P62" s="19">
        <f t="shared" si="38"/>
        <v>4.4035895539945553</v>
      </c>
      <c r="Q62" s="6">
        <v>0.38569999999999999</v>
      </c>
      <c r="R62" s="27">
        <v>0.53320000000000001</v>
      </c>
      <c r="S62" s="6">
        <v>4756</v>
      </c>
      <c r="T62" s="27">
        <v>115055</v>
      </c>
      <c r="U62" s="6">
        <f t="shared" si="39"/>
        <v>2.2802508016895429E-2</v>
      </c>
      <c r="AC62" s="2">
        <f t="shared" si="34"/>
        <v>4.7904055098775974E-2</v>
      </c>
      <c r="AD62" s="2">
        <f t="shared" si="34"/>
        <v>8.6566159582867813E-2</v>
      </c>
      <c r="AE62" s="2">
        <f t="shared" si="34"/>
        <v>2.7571319047776559E-3</v>
      </c>
      <c r="AF62" s="2">
        <f t="shared" si="34"/>
        <v>-7.7588804691303484E-2</v>
      </c>
      <c r="AG62" s="2">
        <f t="shared" si="34"/>
        <v>0.39489244055525136</v>
      </c>
      <c r="AH62" s="2">
        <f t="shared" si="34"/>
        <v>0.25214415967885984</v>
      </c>
      <c r="AI62" s="2">
        <f t="shared" si="34"/>
        <v>5.0584476478783612E-4</v>
      </c>
      <c r="AJ62" s="2">
        <f t="shared" si="34"/>
        <v>3.6909991628475072E-4</v>
      </c>
      <c r="AK62" s="2">
        <f t="shared" si="34"/>
        <v>3.0771860020659667E-3</v>
      </c>
      <c r="AL62" s="2">
        <f t="shared" si="34"/>
        <v>8.6535517924118156E-3</v>
      </c>
      <c r="AM62" s="2">
        <f t="shared" si="34"/>
        <v>1.6538900315090643E-3</v>
      </c>
      <c r="AN62" s="2">
        <f t="shared" si="34"/>
        <v>2.4478381562225799E-3</v>
      </c>
      <c r="AO62" s="2">
        <f t="shared" si="34"/>
        <v>2.1440035799853667E-4</v>
      </c>
      <c r="AP62" s="2">
        <f t="shared" si="34"/>
        <v>2.9639167976359802E-4</v>
      </c>
      <c r="AQ62" s="2">
        <f t="shared" si="34"/>
        <v>2.643733737726317</v>
      </c>
      <c r="AR62" s="2">
        <f t="shared" si="34"/>
        <v>63.956010343587337</v>
      </c>
    </row>
    <row r="63" spans="1:44">
      <c r="B63" s="6" t="s">
        <v>86</v>
      </c>
      <c r="C63" s="35">
        <f>'Flash B'!J25</f>
        <v>3.191475684320729E-8</v>
      </c>
      <c r="D63" s="6" t="s">
        <v>87</v>
      </c>
      <c r="E63" s="18">
        <v>78.114000000000004</v>
      </c>
      <c r="F63" s="18">
        <v>176.16</v>
      </c>
      <c r="G63" s="6">
        <v>3.2250000000000001</v>
      </c>
      <c r="H63" s="20">
        <v>41.96</v>
      </c>
      <c r="I63" s="20">
        <v>710.4</v>
      </c>
      <c r="J63" s="20">
        <v>552.22</v>
      </c>
      <c r="K63" s="19">
        <v>0.92900000000000005</v>
      </c>
      <c r="L63" s="30">
        <v>0.88449999999999995</v>
      </c>
      <c r="M63" s="28">
        <f t="shared" si="35"/>
        <v>7.3740764999999993</v>
      </c>
      <c r="N63" s="28">
        <f t="shared" si="37"/>
        <v>10.593055279532292</v>
      </c>
      <c r="O63" s="19">
        <v>2.6968999999999999</v>
      </c>
      <c r="P63" s="19">
        <f t="shared" si="38"/>
        <v>4.8581704920464244</v>
      </c>
      <c r="Q63" s="6">
        <v>0.2422</v>
      </c>
      <c r="R63" s="27">
        <v>0.4098</v>
      </c>
      <c r="S63" s="6">
        <v>3741</v>
      </c>
      <c r="T63" s="27">
        <v>132651</v>
      </c>
      <c r="U63" s="6">
        <f t="shared" si="39"/>
        <v>8.9084264419743439E-7</v>
      </c>
      <c r="AC63" s="2">
        <f t="shared" si="34"/>
        <v>2.4929893160502942E-6</v>
      </c>
      <c r="AD63" s="2">
        <f t="shared" si="34"/>
        <v>5.6221035654993963E-6</v>
      </c>
      <c r="AE63" s="2">
        <f t="shared" si="34"/>
        <v>1.0292509081934352E-7</v>
      </c>
      <c r="AF63" s="2">
        <f t="shared" si="34"/>
        <v>1.339143197140978E-6</v>
      </c>
      <c r="AG63" s="2">
        <f t="shared" si="34"/>
        <v>2.2672243261414456E-5</v>
      </c>
      <c r="AH63" s="2">
        <f t="shared" si="34"/>
        <v>1.7623967023955931E-5</v>
      </c>
      <c r="AI63" s="2">
        <f t="shared" si="34"/>
        <v>2.9648809107339574E-8</v>
      </c>
      <c r="AJ63" s="2">
        <f t="shared" si="34"/>
        <v>2.8228602427816846E-8</v>
      </c>
      <c r="AK63" s="2">
        <f t="shared" si="34"/>
        <v>2.3534185844070902E-7</v>
      </c>
      <c r="AL63" s="2">
        <f t="shared" si="34"/>
        <v>3.3807478347292634E-7</v>
      </c>
      <c r="AM63" s="2">
        <f t="shared" si="34"/>
        <v>8.6070907730445741E-8</v>
      </c>
      <c r="AN63" s="2">
        <f t="shared" si="34"/>
        <v>1.5504732995650635E-7</v>
      </c>
      <c r="AO63" s="2">
        <f t="shared" si="34"/>
        <v>7.729754107424806E-9</v>
      </c>
      <c r="AP63" s="2">
        <f t="shared" si="34"/>
        <v>1.3078667354346348E-8</v>
      </c>
      <c r="AQ63" s="2">
        <f t="shared" si="34"/>
        <v>1.1939310535043847E-4</v>
      </c>
      <c r="AR63" s="2">
        <f t="shared" si="34"/>
        <v>4.2335244100082901E-3</v>
      </c>
    </row>
    <row r="64" spans="1:44">
      <c r="B64" s="6" t="s">
        <v>88</v>
      </c>
      <c r="C64" s="35">
        <f>C63</f>
        <v>3.191475684320729E-8</v>
      </c>
      <c r="D64" s="6" t="s">
        <v>89</v>
      </c>
      <c r="E64" s="18">
        <v>92.141000000000005</v>
      </c>
      <c r="F64" s="18">
        <v>231.13</v>
      </c>
      <c r="G64" s="6">
        <v>1.0029999999999999</v>
      </c>
      <c r="H64" s="20">
        <v>-138.97999999999999</v>
      </c>
      <c r="I64" s="20">
        <v>595.5</v>
      </c>
      <c r="J64" s="20">
        <v>605.57000000000005</v>
      </c>
      <c r="K64" s="19">
        <v>0.90300000000000002</v>
      </c>
      <c r="L64" s="30">
        <v>0.87190000000000001</v>
      </c>
      <c r="M64" s="28">
        <f t="shared" si="35"/>
        <v>7.2690302999999998</v>
      </c>
      <c r="N64" s="28">
        <f t="shared" si="37"/>
        <v>12.675831052733404</v>
      </c>
      <c r="O64" s="19">
        <v>3.1812</v>
      </c>
      <c r="P64" s="19">
        <f t="shared" si="38"/>
        <v>4.118571608198164</v>
      </c>
      <c r="Q64" s="6">
        <v>0.25979999999999998</v>
      </c>
      <c r="R64" s="27">
        <v>0.40089999999999998</v>
      </c>
      <c r="S64" s="6">
        <v>4475</v>
      </c>
      <c r="T64" s="27">
        <v>132659</v>
      </c>
      <c r="U64" s="6">
        <f t="shared" si="39"/>
        <v>1.0659975384283607E-6</v>
      </c>
      <c r="AC64" s="2">
        <f t="shared" si="34"/>
        <v>2.9406576102899629E-6</v>
      </c>
      <c r="AD64" s="2">
        <f t="shared" si="34"/>
        <v>7.3764577491705005E-6</v>
      </c>
      <c r="AE64" s="2">
        <f t="shared" si="34"/>
        <v>3.2010501113736908E-8</v>
      </c>
      <c r="AF64" s="2">
        <f t="shared" si="34"/>
        <v>-4.4355129060689486E-6</v>
      </c>
      <c r="AG64" s="2">
        <f t="shared" si="34"/>
        <v>1.900523770012994E-5</v>
      </c>
      <c r="AH64" s="2">
        <f t="shared" si="34"/>
        <v>1.932661930154104E-5</v>
      </c>
      <c r="AI64" s="2">
        <f t="shared" si="34"/>
        <v>2.8819025429416183E-8</v>
      </c>
      <c r="AJ64" s="2">
        <f t="shared" si="34"/>
        <v>2.7826476491592436E-8</v>
      </c>
      <c r="AK64" s="2">
        <f t="shared" si="34"/>
        <v>2.3198933451040614E-7</v>
      </c>
      <c r="AL64" s="2">
        <f t="shared" si="34"/>
        <v>4.0454606583356287E-7</v>
      </c>
      <c r="AM64" s="2">
        <f t="shared" si="34"/>
        <v>1.0152722446961103E-7</v>
      </c>
      <c r="AN64" s="2">
        <f t="shared" si="34"/>
        <v>1.3144321141698161E-7</v>
      </c>
      <c r="AO64" s="2">
        <f t="shared" si="34"/>
        <v>8.2914538278652535E-9</v>
      </c>
      <c r="AP64" s="2">
        <f t="shared" si="34"/>
        <v>1.2794626018441801E-8</v>
      </c>
      <c r="AQ64" s="2">
        <f t="shared" si="34"/>
        <v>1.4281853687335262E-4</v>
      </c>
      <c r="AR64" s="2">
        <f t="shared" si="34"/>
        <v>4.2337797280630361E-3</v>
      </c>
    </row>
    <row r="65" spans="1:44">
      <c r="B65" s="6" t="s">
        <v>90</v>
      </c>
      <c r="C65" s="35">
        <f>C64</f>
        <v>3.191475684320729E-8</v>
      </c>
      <c r="D65" s="6" t="s">
        <v>91</v>
      </c>
      <c r="E65" s="18">
        <v>106.16800000000001</v>
      </c>
      <c r="F65" s="18">
        <v>277.16000000000003</v>
      </c>
      <c r="G65" s="6">
        <v>0.37159999999999999</v>
      </c>
      <c r="H65" s="20">
        <v>-138.96</v>
      </c>
      <c r="I65" s="20">
        <v>523.4</v>
      </c>
      <c r="J65" s="20">
        <v>651.29</v>
      </c>
      <c r="K65" s="19"/>
      <c r="L65" s="30">
        <v>0.87170000000000003</v>
      </c>
      <c r="M65" s="28">
        <f t="shared" si="35"/>
        <v>7.2673629000000002</v>
      </c>
      <c r="N65" s="28">
        <f t="shared" si="37"/>
        <v>14.608875524848223</v>
      </c>
      <c r="O65" s="19">
        <v>3.6655000000000002</v>
      </c>
      <c r="P65" s="19">
        <f t="shared" si="38"/>
        <v>3.5744100395580412</v>
      </c>
      <c r="Q65" s="6">
        <v>0.27950000000000003</v>
      </c>
      <c r="R65" s="27">
        <v>0.4113</v>
      </c>
      <c r="S65" s="6">
        <v>5222</v>
      </c>
      <c r="T65" s="27">
        <v>134381</v>
      </c>
      <c r="U65" s="6">
        <f t="shared" si="39"/>
        <v>1.2285605009966095E-6</v>
      </c>
      <c r="AC65" s="2">
        <f t="shared" si="34"/>
        <v>3.3883259045296317E-6</v>
      </c>
      <c r="AD65" s="2">
        <f t="shared" si="34"/>
        <v>8.8454940066633326E-6</v>
      </c>
      <c r="AE65" s="2">
        <f t="shared" si="34"/>
        <v>1.1859523642935829E-8</v>
      </c>
      <c r="AF65" s="2">
        <f t="shared" si="34"/>
        <v>-4.4348746109320849E-6</v>
      </c>
      <c r="AG65" s="2">
        <f t="shared" si="34"/>
        <v>1.6704183731734696E-5</v>
      </c>
      <c r="AH65" s="2">
        <f t="shared" si="34"/>
        <v>2.0785761984412476E-5</v>
      </c>
      <c r="AI65" s="2">
        <f t="shared" si="34"/>
        <v>0</v>
      </c>
      <c r="AJ65" s="2">
        <f t="shared" si="34"/>
        <v>2.7820093540223797E-8</v>
      </c>
      <c r="AK65" s="2">
        <f t="shared" si="34"/>
        <v>2.3193611984484578E-7</v>
      </c>
      <c r="AL65" s="2">
        <f t="shared" si="34"/>
        <v>4.6623871012821332E-7</v>
      </c>
      <c r="AM65" s="2">
        <f t="shared" si="34"/>
        <v>1.1698354120877632E-7</v>
      </c>
      <c r="AN65" s="2">
        <f t="shared" si="34"/>
        <v>1.1407642727041383E-7</v>
      </c>
      <c r="AO65" s="2">
        <f t="shared" si="34"/>
        <v>8.9201745376764383E-9</v>
      </c>
      <c r="AP65" s="2">
        <f t="shared" si="34"/>
        <v>1.3126539489611159E-8</v>
      </c>
      <c r="AQ65" s="2">
        <f t="shared" si="34"/>
        <v>1.6665886023522846E-4</v>
      </c>
      <c r="AR65" s="2">
        <f t="shared" si="34"/>
        <v>4.288736939347039E-3</v>
      </c>
    </row>
    <row r="66" spans="1:44">
      <c r="B66" s="6" t="s">
        <v>92</v>
      </c>
      <c r="C66" s="35">
        <f>C65</f>
        <v>3.191475684320729E-8</v>
      </c>
      <c r="D66" s="6" t="s">
        <v>93</v>
      </c>
      <c r="E66" s="18">
        <v>106.16800000000001</v>
      </c>
      <c r="F66" s="18">
        <v>291.97000000000003</v>
      </c>
      <c r="G66" s="6">
        <v>0.26429999999999998</v>
      </c>
      <c r="H66" s="20">
        <v>-13.32</v>
      </c>
      <c r="I66" s="20">
        <v>541.6</v>
      </c>
      <c r="J66" s="20">
        <v>674.92</v>
      </c>
      <c r="K66" s="19"/>
      <c r="L66" s="30">
        <v>0.88470000000000004</v>
      </c>
      <c r="M66" s="28">
        <f t="shared" si="35"/>
        <v>7.3757438999999998</v>
      </c>
      <c r="N66" s="28">
        <f>E66/M66</f>
        <v>14.394209104792807</v>
      </c>
      <c r="O66" s="19">
        <v>3.6655000000000002</v>
      </c>
      <c r="P66" s="19">
        <f t="shared" si="38"/>
        <v>3.5744100395580412</v>
      </c>
      <c r="Q66" s="6">
        <v>0.29139999999999999</v>
      </c>
      <c r="R66" s="27">
        <v>0.41610000000000003</v>
      </c>
      <c r="S66" s="6">
        <v>5209</v>
      </c>
      <c r="T66" s="27">
        <v>136036</v>
      </c>
      <c r="U66" s="6">
        <f t="shared" si="39"/>
        <v>1.2105077299861474E-6</v>
      </c>
      <c r="AC66" s="2">
        <f t="shared" si="34"/>
        <v>3.3883259045296317E-6</v>
      </c>
      <c r="AD66" s="2">
        <f t="shared" si="34"/>
        <v>9.3181515555112332E-6</v>
      </c>
      <c r="AE66" s="2">
        <f t="shared" si="34"/>
        <v>8.4350702336596864E-9</v>
      </c>
      <c r="AF66" s="2">
        <f t="shared" si="34"/>
        <v>-4.2510456115152111E-7</v>
      </c>
      <c r="AG66" s="2">
        <f t="shared" si="34"/>
        <v>1.7285032306281068E-5</v>
      </c>
      <c r="AH66" s="2">
        <f t="shared" si="34"/>
        <v>2.1539907688617463E-5</v>
      </c>
      <c r="AI66" s="2">
        <f t="shared" si="34"/>
        <v>0</v>
      </c>
      <c r="AJ66" s="2">
        <f t="shared" si="34"/>
        <v>2.8234985379185492E-8</v>
      </c>
      <c r="AK66" s="2">
        <f t="shared" si="34"/>
        <v>2.3539507310626941E-7</v>
      </c>
      <c r="AL66" s="2">
        <f t="shared" si="34"/>
        <v>4.5938768352974293E-7</v>
      </c>
      <c r="AM66" s="2">
        <f t="shared" si="34"/>
        <v>1.1698354120877632E-7</v>
      </c>
      <c r="AN66" s="2">
        <f t="shared" si="34"/>
        <v>1.1407642727041383E-7</v>
      </c>
      <c r="AO66" s="2">
        <f t="shared" si="34"/>
        <v>9.2999601441106033E-9</v>
      </c>
      <c r="AP66" s="2">
        <f t="shared" si="34"/>
        <v>1.3279730322458555E-8</v>
      </c>
      <c r="AQ66" s="2">
        <f t="shared" si="34"/>
        <v>1.6624396839626677E-4</v>
      </c>
      <c r="AR66" s="2">
        <f t="shared" si="34"/>
        <v>4.3415558619225468E-3</v>
      </c>
    </row>
    <row r="67" spans="1:44">
      <c r="B67" s="6" t="s">
        <v>1</v>
      </c>
      <c r="C67" s="35">
        <f t="shared" ref="C67" si="40">(C24-AB45)/$N$29</f>
        <v>0</v>
      </c>
      <c r="D67" s="6" t="s">
        <v>94</v>
      </c>
      <c r="E67" s="18">
        <v>18.015000000000001</v>
      </c>
      <c r="F67" s="18">
        <v>212</v>
      </c>
      <c r="G67" s="6">
        <v>0.94950000000000001</v>
      </c>
      <c r="H67" s="20">
        <v>32</v>
      </c>
      <c r="I67" s="20">
        <v>3207.9</v>
      </c>
      <c r="J67" s="20">
        <v>705.5</v>
      </c>
      <c r="K67" s="19">
        <v>0.34339999999999998</v>
      </c>
      <c r="L67" s="30">
        <v>1</v>
      </c>
      <c r="M67" s="28">
        <v>8.3369999999999997</v>
      </c>
      <c r="N67" s="28">
        <f t="shared" si="37"/>
        <v>2.1608492263404102</v>
      </c>
      <c r="O67" s="19">
        <v>0.62180000000000002</v>
      </c>
      <c r="P67" s="19">
        <f t="shared" si="38"/>
        <v>21.071083949823095</v>
      </c>
      <c r="Q67" s="6">
        <v>0.44469999999999998</v>
      </c>
      <c r="R67" s="27">
        <v>1.0009999999999999</v>
      </c>
      <c r="S67" s="6">
        <v>49</v>
      </c>
      <c r="T67" s="27">
        <v>0</v>
      </c>
      <c r="U67" s="6"/>
      <c r="AC67" s="2">
        <f t="shared" si="34"/>
        <v>0</v>
      </c>
      <c r="AD67" s="2">
        <f t="shared" si="34"/>
        <v>0</v>
      </c>
      <c r="AE67" s="2">
        <f t="shared" si="34"/>
        <v>0</v>
      </c>
      <c r="AF67" s="2">
        <f t="shared" si="34"/>
        <v>0</v>
      </c>
      <c r="AG67" s="2">
        <f t="shared" si="34"/>
        <v>0</v>
      </c>
      <c r="AH67" s="2">
        <f t="shared" si="34"/>
        <v>0</v>
      </c>
      <c r="AI67" s="2">
        <f t="shared" si="34"/>
        <v>0</v>
      </c>
      <c r="AJ67" s="2">
        <f t="shared" si="34"/>
        <v>0</v>
      </c>
      <c r="AK67" s="2">
        <f t="shared" si="34"/>
        <v>0</v>
      </c>
      <c r="AL67" s="2">
        <f t="shared" si="34"/>
        <v>0</v>
      </c>
      <c r="AM67" s="2">
        <f t="shared" si="34"/>
        <v>0</v>
      </c>
      <c r="AN67" s="2">
        <f t="shared" si="34"/>
        <v>0</v>
      </c>
      <c r="AO67" s="2">
        <f t="shared" si="34"/>
        <v>0</v>
      </c>
      <c r="AP67" s="2">
        <f t="shared" si="34"/>
        <v>0</v>
      </c>
      <c r="AQ67" s="2">
        <f t="shared" si="34"/>
        <v>0</v>
      </c>
      <c r="AR67" s="2">
        <f t="shared" ref="AR67" si="41">T67*$C67</f>
        <v>0</v>
      </c>
    </row>
    <row r="68" spans="1:44">
      <c r="B68" s="6" t="s">
        <v>95</v>
      </c>
      <c r="C68" s="35">
        <f>SUM(C52:C67)</f>
        <v>1.0021147080717221</v>
      </c>
      <c r="D68" s="6"/>
      <c r="E68" s="18">
        <f>AC68</f>
        <v>21.333982879173835</v>
      </c>
      <c r="F68" s="18">
        <f t="shared" ref="F68:T68" si="42">AD68</f>
        <v>-223.10367956765111</v>
      </c>
      <c r="G68" s="18">
        <f t="shared" si="42"/>
        <v>3935.2022651588322</v>
      </c>
      <c r="H68" s="18">
        <f t="shared" si="42"/>
        <v>-284.27863978575783</v>
      </c>
      <c r="I68" s="18">
        <f t="shared" si="42"/>
        <v>689.32219308158358</v>
      </c>
      <c r="J68" s="18">
        <f t="shared" si="42"/>
        <v>-63.766920719119696</v>
      </c>
      <c r="K68" s="18">
        <f t="shared" si="42"/>
        <v>0.99812922717104424</v>
      </c>
      <c r="L68" s="28">
        <f t="shared" si="42"/>
        <v>0.35596337849403425</v>
      </c>
      <c r="M68" s="28">
        <f t="shared" si="42"/>
        <v>2.9676666865047623</v>
      </c>
      <c r="N68" s="28">
        <f t="shared" si="42"/>
        <v>7.0899489639314712</v>
      </c>
      <c r="O68" s="145">
        <f>E68/28.96</f>
        <v>0.73667067952948317</v>
      </c>
      <c r="P68" s="19">
        <f t="shared" si="38"/>
        <v>17.785423479007392</v>
      </c>
      <c r="Q68" s="18">
        <f t="shared" si="42"/>
        <v>0.48519215536212912</v>
      </c>
      <c r="R68" s="28">
        <f t="shared" si="42"/>
        <v>0.13155708135409311</v>
      </c>
      <c r="S68" s="18">
        <f t="shared" si="42"/>
        <v>1129.653638448262</v>
      </c>
      <c r="T68" s="28">
        <f t="shared" si="42"/>
        <v>12628.420712239555</v>
      </c>
      <c r="U68" s="18">
        <f>SUM(U56:U66)</f>
        <v>4.6006361057687206</v>
      </c>
      <c r="V68" s="11"/>
      <c r="W68" s="11"/>
      <c r="X68" s="11"/>
      <c r="Y68" s="11"/>
      <c r="Z68" s="11"/>
      <c r="AA68" s="11"/>
      <c r="AC68" s="2">
        <f>SUM(AC52:AC67)</f>
        <v>21.333982879173835</v>
      </c>
      <c r="AD68" s="2">
        <f t="shared" ref="AD68:AR68" si="43">SUM(AD52:AD67)</f>
        <v>-223.10367956765111</v>
      </c>
      <c r="AE68" s="2">
        <f t="shared" si="43"/>
        <v>3935.2022651588322</v>
      </c>
      <c r="AF68" s="2">
        <f t="shared" si="43"/>
        <v>-284.27863978575783</v>
      </c>
      <c r="AG68" s="2">
        <f t="shared" si="43"/>
        <v>689.32219308158358</v>
      </c>
      <c r="AH68" s="2">
        <f t="shared" si="43"/>
        <v>-63.766920719119696</v>
      </c>
      <c r="AI68" s="2">
        <f t="shared" si="43"/>
        <v>0.99812922717104424</v>
      </c>
      <c r="AJ68" s="2">
        <f t="shared" si="43"/>
        <v>0.35596337849403425</v>
      </c>
      <c r="AK68" s="2">
        <f t="shared" si="43"/>
        <v>2.9676666865047623</v>
      </c>
      <c r="AL68" s="2">
        <f t="shared" si="43"/>
        <v>7.0899489639314712</v>
      </c>
      <c r="AM68" s="2">
        <f t="shared" si="43"/>
        <v>0.72981308824958369</v>
      </c>
      <c r="AN68" s="2">
        <f t="shared" si="43"/>
        <v>20.748886673482666</v>
      </c>
      <c r="AO68" s="2">
        <f t="shared" si="43"/>
        <v>0.48519215536212912</v>
      </c>
      <c r="AP68" s="2">
        <f t="shared" si="43"/>
        <v>0.13155708135409311</v>
      </c>
      <c r="AQ68" s="2">
        <f t="shared" si="43"/>
        <v>1129.653638448262</v>
      </c>
      <c r="AR68" s="2">
        <f t="shared" si="43"/>
        <v>12628.420712239555</v>
      </c>
    </row>
    <row r="70" spans="1:44">
      <c r="A70" s="13" t="s">
        <v>104</v>
      </c>
    </row>
    <row r="71" spans="1:44">
      <c r="C71" s="7" t="s">
        <v>38</v>
      </c>
      <c r="D71" s="7"/>
      <c r="E71" s="7"/>
      <c r="F71" s="7" t="s">
        <v>39</v>
      </c>
      <c r="G71" s="7" t="s">
        <v>40</v>
      </c>
      <c r="H71" s="7" t="s">
        <v>41</v>
      </c>
      <c r="I71" s="7" t="s">
        <v>42</v>
      </c>
      <c r="J71" s="7" t="s">
        <v>43</v>
      </c>
      <c r="K71" s="7"/>
      <c r="L71" s="342" t="s">
        <v>44</v>
      </c>
      <c r="M71" s="343"/>
      <c r="N71" s="344"/>
      <c r="O71" s="350" t="s">
        <v>45</v>
      </c>
      <c r="P71" s="351"/>
      <c r="Q71" s="25" t="s">
        <v>46</v>
      </c>
      <c r="R71" s="7" t="s">
        <v>47</v>
      </c>
      <c r="S71" s="25" t="s">
        <v>48</v>
      </c>
      <c r="T71" s="7" t="s">
        <v>49</v>
      </c>
      <c r="U71" s="25" t="s">
        <v>50</v>
      </c>
    </row>
    <row r="72" spans="1:44">
      <c r="C72" s="8" t="s">
        <v>51</v>
      </c>
      <c r="D72" s="8" t="s">
        <v>52</v>
      </c>
      <c r="E72" s="8" t="s">
        <v>53</v>
      </c>
      <c r="F72" s="17" t="s">
        <v>54</v>
      </c>
      <c r="G72" s="17" t="s">
        <v>55</v>
      </c>
      <c r="H72" s="8" t="s">
        <v>56</v>
      </c>
      <c r="I72" s="8" t="s">
        <v>57</v>
      </c>
      <c r="J72" s="8" t="s">
        <v>58</v>
      </c>
      <c r="K72" s="8" t="s">
        <v>59</v>
      </c>
      <c r="L72" s="6" t="s">
        <v>60</v>
      </c>
      <c r="M72" s="6" t="s">
        <v>61</v>
      </c>
      <c r="N72" s="18" t="s">
        <v>62</v>
      </c>
      <c r="O72" s="30" t="s">
        <v>60</v>
      </c>
      <c r="P72" s="30" t="s">
        <v>63</v>
      </c>
      <c r="Q72" s="29" t="s">
        <v>64</v>
      </c>
      <c r="R72" s="8" t="s">
        <v>64</v>
      </c>
      <c r="S72" s="29" t="s">
        <v>65</v>
      </c>
      <c r="T72" s="8" t="s">
        <v>66</v>
      </c>
      <c r="U72" s="29" t="s">
        <v>67</v>
      </c>
    </row>
    <row r="73" spans="1:44">
      <c r="B73" s="6" t="s">
        <v>68</v>
      </c>
      <c r="C73" s="35">
        <f>'Flash B'!I14</f>
        <v>7.337954319849647E-4</v>
      </c>
      <c r="D73" s="6" t="s">
        <v>4</v>
      </c>
      <c r="E73" s="18">
        <v>28.013000000000002</v>
      </c>
      <c r="F73" s="18">
        <v>-297.33199999999999</v>
      </c>
      <c r="G73" s="6"/>
      <c r="H73" s="20">
        <v>-346</v>
      </c>
      <c r="I73" s="20">
        <v>493</v>
      </c>
      <c r="J73" s="20">
        <v>-232.7</v>
      </c>
      <c r="K73" s="19">
        <v>0.99997000000000003</v>
      </c>
      <c r="L73" s="19">
        <v>0.80940000000000001</v>
      </c>
      <c r="M73" s="18">
        <f>L73*$M$24</f>
        <v>6.7479677999999996</v>
      </c>
      <c r="N73" s="18">
        <f t="shared" ref="N73:N75" si="44">E73/M73</f>
        <v>4.1513238993226977</v>
      </c>
      <c r="O73" s="30">
        <v>13.547000000000001</v>
      </c>
      <c r="P73" s="30">
        <f>13.102/O73</f>
        <v>0.96715139883369006</v>
      </c>
      <c r="Q73" s="27">
        <v>0.24840000000000001</v>
      </c>
      <c r="R73" s="6"/>
      <c r="S73" s="27"/>
      <c r="T73" s="6"/>
      <c r="U73" s="27"/>
      <c r="AC73" s="2">
        <f t="shared" ref="AC73:AR88" si="45">E73*$C73</f>
        <v>2.0555811436194817E-2</v>
      </c>
      <c r="AD73" s="2">
        <f t="shared" si="45"/>
        <v>-0.21818086338295353</v>
      </c>
      <c r="AE73" s="2">
        <f t="shared" si="45"/>
        <v>0</v>
      </c>
      <c r="AF73" s="2">
        <f t="shared" si="45"/>
        <v>-0.25389321946679777</v>
      </c>
      <c r="AG73" s="2">
        <f t="shared" si="45"/>
        <v>0.3617611479685876</v>
      </c>
      <c r="AH73" s="2">
        <f t="shared" si="45"/>
        <v>-0.17075419702290129</v>
      </c>
      <c r="AI73" s="2">
        <f t="shared" si="45"/>
        <v>7.3377341812200518E-4</v>
      </c>
      <c r="AJ73" s="2">
        <f t="shared" si="45"/>
        <v>5.9393402264863043E-4</v>
      </c>
      <c r="AK73" s="2">
        <f t="shared" si="45"/>
        <v>4.9516279468216316E-3</v>
      </c>
      <c r="AL73" s="2">
        <f t="shared" si="45"/>
        <v>3.046222514013007E-3</v>
      </c>
      <c r="AM73" s="2">
        <f t="shared" si="45"/>
        <v>9.9407267171003171E-3</v>
      </c>
      <c r="AN73" s="2">
        <f t="shared" si="45"/>
        <v>7.096912785020305E-4</v>
      </c>
      <c r="AO73" s="2">
        <f t="shared" si="45"/>
        <v>1.8227478530506524E-4</v>
      </c>
      <c r="AP73" s="2">
        <f t="shared" si="45"/>
        <v>0</v>
      </c>
      <c r="AQ73" s="2">
        <f t="shared" si="45"/>
        <v>0</v>
      </c>
      <c r="AR73" s="2">
        <f t="shared" si="45"/>
        <v>0</v>
      </c>
    </row>
    <row r="74" spans="1:44">
      <c r="B74" s="6" t="s">
        <v>69</v>
      </c>
      <c r="C74" s="35">
        <f>'Flash B'!I15</f>
        <v>4.0288402528766087E-2</v>
      </c>
      <c r="D74" s="6" t="s">
        <v>70</v>
      </c>
      <c r="E74" s="18">
        <v>44.01</v>
      </c>
      <c r="F74" s="18">
        <v>-109.32</v>
      </c>
      <c r="G74" s="6"/>
      <c r="H74" s="20">
        <v>-69.77</v>
      </c>
      <c r="I74" s="20">
        <v>1071</v>
      </c>
      <c r="J74" s="20">
        <v>87.87</v>
      </c>
      <c r="K74" s="19">
        <v>0.99429999999999996</v>
      </c>
      <c r="L74" s="19">
        <v>0.81759999999999999</v>
      </c>
      <c r="M74" s="18">
        <f t="shared" ref="M74:M87" si="46">L74*$M$24</f>
        <v>6.8163311999999996</v>
      </c>
      <c r="N74" s="18">
        <f t="shared" si="44"/>
        <v>6.4565524632957976</v>
      </c>
      <c r="O74" s="30">
        <v>8.6229999999999993</v>
      </c>
      <c r="P74" s="30">
        <f t="shared" ref="P74:P75" si="47">13.102/O74</f>
        <v>1.5194247941551666</v>
      </c>
      <c r="Q74" s="27">
        <v>0.19900000000000001</v>
      </c>
      <c r="R74" s="6"/>
      <c r="S74" s="27"/>
      <c r="T74" s="6"/>
      <c r="U74" s="27"/>
      <c r="AC74" s="2">
        <f t="shared" si="45"/>
        <v>1.7730925952909955</v>
      </c>
      <c r="AD74" s="2">
        <f t="shared" si="45"/>
        <v>-4.4043281644447081</v>
      </c>
      <c r="AE74" s="2">
        <f t="shared" si="45"/>
        <v>0</v>
      </c>
      <c r="AF74" s="2">
        <f t="shared" si="45"/>
        <v>-2.8109218444320097</v>
      </c>
      <c r="AG74" s="2">
        <f t="shared" si="45"/>
        <v>43.148879108308478</v>
      </c>
      <c r="AH74" s="2">
        <f t="shared" si="45"/>
        <v>3.5401419302026764</v>
      </c>
      <c r="AI74" s="2">
        <f t="shared" si="45"/>
        <v>4.0058758634352119E-2</v>
      </c>
      <c r="AJ74" s="2">
        <f t="shared" si="45"/>
        <v>3.293979790751915E-2</v>
      </c>
      <c r="AK74" s="2">
        <f t="shared" si="45"/>
        <v>0.27461909515498717</v>
      </c>
      <c r="AL74" s="2">
        <f t="shared" si="45"/>
        <v>0.26012418458935732</v>
      </c>
      <c r="AM74" s="2">
        <f t="shared" si="45"/>
        <v>0.34740689500554994</v>
      </c>
      <c r="AN74" s="2">
        <f t="shared" si="45"/>
        <v>6.1215197719110909E-2</v>
      </c>
      <c r="AO74" s="2">
        <f t="shared" si="45"/>
        <v>8.0173921032244515E-3</v>
      </c>
      <c r="AP74" s="2">
        <f t="shared" si="45"/>
        <v>0</v>
      </c>
      <c r="AQ74" s="2">
        <f t="shared" si="45"/>
        <v>0</v>
      </c>
      <c r="AR74" s="2">
        <f t="shared" si="45"/>
        <v>0</v>
      </c>
    </row>
    <row r="75" spans="1:44">
      <c r="B75" s="6" t="s">
        <v>71</v>
      </c>
      <c r="C75" s="35">
        <f>'Flash B'!I16</f>
        <v>2.733525596070816E-6</v>
      </c>
      <c r="D75" s="6" t="s">
        <v>2</v>
      </c>
      <c r="E75" s="18">
        <v>34.076000000000001</v>
      </c>
      <c r="F75" s="18">
        <v>-76.56</v>
      </c>
      <c r="G75" s="6">
        <v>387.1</v>
      </c>
      <c r="H75" s="20">
        <v>-121.58</v>
      </c>
      <c r="I75" s="20">
        <v>1036</v>
      </c>
      <c r="J75" s="20">
        <v>212.6</v>
      </c>
      <c r="K75" s="19">
        <v>0.99029999999999996</v>
      </c>
      <c r="L75" s="19">
        <v>0.78710000000000002</v>
      </c>
      <c r="M75" s="18">
        <f t="shared" si="46"/>
        <v>6.5620526999999997</v>
      </c>
      <c r="N75" s="18">
        <f t="shared" si="44"/>
        <v>5.1928872805303747</v>
      </c>
      <c r="O75" s="30">
        <v>11.135999999999999</v>
      </c>
      <c r="P75" s="30">
        <f t="shared" si="47"/>
        <v>1.1765445402298851</v>
      </c>
      <c r="Q75" s="27">
        <v>0.2379</v>
      </c>
      <c r="R75" s="6">
        <v>0.49680000000000002</v>
      </c>
      <c r="S75" s="27">
        <v>637</v>
      </c>
      <c r="T75" s="6"/>
      <c r="U75" s="27"/>
      <c r="AC75" s="2">
        <f t="shared" si="45"/>
        <v>9.3147618211709128E-5</v>
      </c>
      <c r="AD75" s="2">
        <f t="shared" si="45"/>
        <v>-2.0927871963518168E-4</v>
      </c>
      <c r="AE75" s="2">
        <f t="shared" si="45"/>
        <v>1.058147758239013E-3</v>
      </c>
      <c r="AF75" s="2">
        <f t="shared" si="45"/>
        <v>-3.3234204197028983E-4</v>
      </c>
      <c r="AG75" s="2">
        <f t="shared" si="45"/>
        <v>2.8319325175293654E-3</v>
      </c>
      <c r="AH75" s="2">
        <f t="shared" si="45"/>
        <v>5.8114754172465543E-4</v>
      </c>
      <c r="AI75" s="2">
        <f t="shared" si="45"/>
        <v>2.707010397788929E-6</v>
      </c>
      <c r="AJ75" s="2">
        <f t="shared" si="45"/>
        <v>2.1515579966673395E-6</v>
      </c>
      <c r="AK75" s="2">
        <f t="shared" si="45"/>
        <v>1.7937539018215609E-5</v>
      </c>
      <c r="AL75" s="2">
        <f t="shared" si="45"/>
        <v>1.4194890298840352E-5</v>
      </c>
      <c r="AM75" s="2">
        <f t="shared" si="45"/>
        <v>3.0440541037844605E-5</v>
      </c>
      <c r="AN75" s="2">
        <f t="shared" si="45"/>
        <v>3.2161146156357607E-6</v>
      </c>
      <c r="AO75" s="2">
        <f t="shared" si="45"/>
        <v>6.5030573930524718E-7</v>
      </c>
      <c r="AP75" s="2">
        <f t="shared" si="45"/>
        <v>1.3580155161279815E-6</v>
      </c>
      <c r="AQ75" s="2">
        <f t="shared" si="45"/>
        <v>1.7412558046971099E-3</v>
      </c>
      <c r="AR75" s="2">
        <f t="shared" si="45"/>
        <v>0</v>
      </c>
    </row>
    <row r="76" spans="1:44">
      <c r="B76" s="6" t="s">
        <v>72</v>
      </c>
      <c r="C76" s="35">
        <f>'Flash B'!I17</f>
        <v>0.11649000312621506</v>
      </c>
      <c r="D76" s="6" t="s">
        <v>73</v>
      </c>
      <c r="E76" s="18">
        <v>16.042999999999999</v>
      </c>
      <c r="F76" s="18">
        <v>-258.7</v>
      </c>
      <c r="G76" s="6">
        <v>5000</v>
      </c>
      <c r="H76" s="20">
        <v>-296.5</v>
      </c>
      <c r="I76" s="20">
        <v>667.8</v>
      </c>
      <c r="J76" s="20">
        <v>-116.68</v>
      </c>
      <c r="K76" s="19">
        <v>0.99809999999999999</v>
      </c>
      <c r="L76" s="19">
        <v>0.3</v>
      </c>
      <c r="M76" s="18">
        <f t="shared" si="46"/>
        <v>2.5010999999999997</v>
      </c>
      <c r="N76" s="18">
        <f>E76/M76</f>
        <v>6.4143776738235179</v>
      </c>
      <c r="O76" s="30">
        <v>0.55389999999999995</v>
      </c>
      <c r="P76" s="30">
        <f>13.102/O76</f>
        <v>23.654089185773607</v>
      </c>
      <c r="Q76" s="27">
        <v>0.52659999999999996</v>
      </c>
      <c r="R76" s="6"/>
      <c r="S76" s="27">
        <v>1009.7</v>
      </c>
      <c r="T76" s="6"/>
      <c r="U76" s="27"/>
      <c r="AC76" s="2">
        <f t="shared" si="45"/>
        <v>1.8688491201538682</v>
      </c>
      <c r="AD76" s="2">
        <f t="shared" si="45"/>
        <v>-30.135963808751836</v>
      </c>
      <c r="AE76" s="2">
        <f t="shared" si="45"/>
        <v>582.4500156310753</v>
      </c>
      <c r="AF76" s="2">
        <f t="shared" si="45"/>
        <v>-34.539285926922766</v>
      </c>
      <c r="AG76" s="2">
        <f t="shared" si="45"/>
        <v>77.792024087686414</v>
      </c>
      <c r="AH76" s="2">
        <f t="shared" si="45"/>
        <v>-13.592053564766774</v>
      </c>
      <c r="AI76" s="2">
        <f t="shared" si="45"/>
        <v>0.11626867212027525</v>
      </c>
      <c r="AJ76" s="2">
        <f t="shared" si="45"/>
        <v>3.4947000937864514E-2</v>
      </c>
      <c r="AK76" s="2">
        <f t="shared" si="45"/>
        <v>0.29135314681897645</v>
      </c>
      <c r="AL76" s="2">
        <f t="shared" si="45"/>
        <v>0.74721087527642571</v>
      </c>
      <c r="AM76" s="2">
        <f t="shared" si="45"/>
        <v>6.4523812731610522E-2</v>
      </c>
      <c r="AN76" s="2">
        <f t="shared" si="45"/>
        <v>2.7554649231985375</v>
      </c>
      <c r="AO76" s="2">
        <f t="shared" si="45"/>
        <v>6.1343635646264848E-2</v>
      </c>
      <c r="AP76" s="2">
        <f t="shared" si="45"/>
        <v>0</v>
      </c>
      <c r="AQ76" s="2">
        <f t="shared" si="45"/>
        <v>117.61995615653935</v>
      </c>
      <c r="AR76" s="2">
        <f t="shared" si="45"/>
        <v>0</v>
      </c>
    </row>
    <row r="77" spans="1:44">
      <c r="B77" s="6" t="s">
        <v>74</v>
      </c>
      <c r="C77" s="35">
        <f>'Flash B'!I18</f>
        <v>0.114972326169997</v>
      </c>
      <c r="D77" s="6" t="s">
        <v>75</v>
      </c>
      <c r="E77" s="18">
        <v>30.7</v>
      </c>
      <c r="F77" s="18">
        <v>-127.44</v>
      </c>
      <c r="G77" s="6">
        <v>800</v>
      </c>
      <c r="H77" s="20">
        <v>-297.04000000000002</v>
      </c>
      <c r="I77" s="20">
        <v>707.8</v>
      </c>
      <c r="J77" s="20">
        <v>90.1</v>
      </c>
      <c r="K77" s="19">
        <v>0.99609999999999999</v>
      </c>
      <c r="L77" s="19">
        <v>0.35630000000000001</v>
      </c>
      <c r="M77" s="18">
        <f t="shared" si="46"/>
        <v>2.9704731</v>
      </c>
      <c r="N77" s="18">
        <f t="shared" ref="N77:N88" si="48">E77/M77</f>
        <v>10.335054035668595</v>
      </c>
      <c r="O77" s="30">
        <v>1.0382</v>
      </c>
      <c r="P77" s="30">
        <f t="shared" ref="P77:P88" si="49">13.102/O77</f>
        <v>12.619919090733962</v>
      </c>
      <c r="Q77" s="27">
        <v>0.40799999999999997</v>
      </c>
      <c r="R77" s="6">
        <v>0.92559999999999998</v>
      </c>
      <c r="S77" s="27">
        <v>1768</v>
      </c>
      <c r="T77" s="6">
        <v>65889</v>
      </c>
      <c r="U77" s="27">
        <f>N77*C77/100/0.3795</f>
        <v>3.13108090533184E-2</v>
      </c>
      <c r="AC77" s="2">
        <f t="shared" si="45"/>
        <v>3.5296504134189077</v>
      </c>
      <c r="AD77" s="2">
        <f t="shared" si="45"/>
        <v>-14.652073247104418</v>
      </c>
      <c r="AE77" s="2">
        <f t="shared" si="45"/>
        <v>91.977860935997597</v>
      </c>
      <c r="AF77" s="2">
        <f t="shared" si="45"/>
        <v>-34.151379765535914</v>
      </c>
      <c r="AG77" s="2">
        <f t="shared" si="45"/>
        <v>81.377412463123875</v>
      </c>
      <c r="AH77" s="2">
        <f t="shared" si="45"/>
        <v>10.359006587916729</v>
      </c>
      <c r="AI77" s="2">
        <f t="shared" si="45"/>
        <v>0.11452393409793402</v>
      </c>
      <c r="AJ77" s="2">
        <f t="shared" si="45"/>
        <v>4.096463981436993E-2</v>
      </c>
      <c r="AK77" s="2">
        <f t="shared" si="45"/>
        <v>0.34152220213240214</v>
      </c>
      <c r="AL77" s="2">
        <f t="shared" si="45"/>
        <v>1.1882452035734334</v>
      </c>
      <c r="AM77" s="2">
        <f t="shared" si="45"/>
        <v>0.11936426902969088</v>
      </c>
      <c r="AN77" s="2">
        <f t="shared" si="45"/>
        <v>1.450941453938837</v>
      </c>
      <c r="AO77" s="2">
        <f t="shared" si="45"/>
        <v>4.6908709077358772E-2</v>
      </c>
      <c r="AP77" s="2">
        <f t="shared" si="45"/>
        <v>0.10641838510294922</v>
      </c>
      <c r="AQ77" s="2">
        <f t="shared" si="45"/>
        <v>203.27107266855469</v>
      </c>
      <c r="AR77" s="2">
        <f t="shared" si="45"/>
        <v>7575.4115990149321</v>
      </c>
    </row>
    <row r="78" spans="1:44">
      <c r="B78" s="6" t="s">
        <v>76</v>
      </c>
      <c r="C78" s="35">
        <f>'Flash B'!I19</f>
        <v>0.20997931599402966</v>
      </c>
      <c r="D78" s="6" t="s">
        <v>77</v>
      </c>
      <c r="E78" s="18">
        <v>44.097000000000001</v>
      </c>
      <c r="F78" s="18">
        <v>-43.73</v>
      </c>
      <c r="G78" s="6">
        <v>188</v>
      </c>
      <c r="H78" s="20">
        <v>-305.82</v>
      </c>
      <c r="I78" s="20">
        <v>616.29999999999995</v>
      </c>
      <c r="J78" s="20">
        <v>206.1</v>
      </c>
      <c r="K78" s="19">
        <v>0.98080000000000001</v>
      </c>
      <c r="L78" s="19">
        <v>0.50749999999999995</v>
      </c>
      <c r="M78" s="18">
        <f t="shared" si="46"/>
        <v>4.2310274999999997</v>
      </c>
      <c r="N78" s="18">
        <f t="shared" si="48"/>
        <v>10.422291039233379</v>
      </c>
      <c r="O78" s="30">
        <v>1.5225</v>
      </c>
      <c r="P78" s="30">
        <f t="shared" si="49"/>
        <v>8.6055829228243024</v>
      </c>
      <c r="Q78" s="27">
        <v>0.38869999999999999</v>
      </c>
      <c r="R78" s="6">
        <v>0.59019999999999995</v>
      </c>
      <c r="S78" s="27">
        <v>2517</v>
      </c>
      <c r="T78" s="6">
        <v>90962</v>
      </c>
      <c r="U78" s="27">
        <f t="shared" ref="U78:U87" si="50">N78*C78/100/0.3795</f>
        <v>5.7667076245294581E-2</v>
      </c>
      <c r="AC78" s="2">
        <f t="shared" si="45"/>
        <v>9.2594578973887263</v>
      </c>
      <c r="AD78" s="2">
        <f t="shared" si="45"/>
        <v>-9.1823954884189174</v>
      </c>
      <c r="AE78" s="2">
        <f t="shared" si="45"/>
        <v>39.476111406877578</v>
      </c>
      <c r="AF78" s="2">
        <f t="shared" si="45"/>
        <v>-64.215874417294145</v>
      </c>
      <c r="AG78" s="2">
        <f t="shared" si="45"/>
        <v>129.41025244712048</v>
      </c>
      <c r="AH78" s="2">
        <f t="shared" si="45"/>
        <v>43.27673702636951</v>
      </c>
      <c r="AI78" s="2">
        <f t="shared" si="45"/>
        <v>0.20594771312694429</v>
      </c>
      <c r="AJ78" s="2">
        <f t="shared" si="45"/>
        <v>0.10656450286697004</v>
      </c>
      <c r="AK78" s="2">
        <f t="shared" si="45"/>
        <v>0.88842826040192924</v>
      </c>
      <c r="AL78" s="2">
        <f t="shared" si="45"/>
        <v>2.1884655435089293</v>
      </c>
      <c r="AM78" s="2">
        <f t="shared" si="45"/>
        <v>0.31969350860091017</v>
      </c>
      <c r="AN78" s="2">
        <f t="shared" si="45"/>
        <v>1.8069944158645497</v>
      </c>
      <c r="AO78" s="2">
        <f t="shared" si="45"/>
        <v>8.1618960126879331E-2</v>
      </c>
      <c r="AP78" s="2">
        <f t="shared" si="45"/>
        <v>0.12392979229967629</v>
      </c>
      <c r="AQ78" s="2">
        <f t="shared" si="45"/>
        <v>528.51793835697265</v>
      </c>
      <c r="AR78" s="2">
        <f t="shared" si="45"/>
        <v>19100.138541448927</v>
      </c>
    </row>
    <row r="79" spans="1:44">
      <c r="B79" s="6" t="s">
        <v>78</v>
      </c>
      <c r="C79" s="35">
        <f>'Flash B'!I20</f>
        <v>6.1088777459397704E-2</v>
      </c>
      <c r="D79" s="6" t="s">
        <v>79</v>
      </c>
      <c r="E79" s="18">
        <v>58.124000000000002</v>
      </c>
      <c r="F79" s="18">
        <v>10.74</v>
      </c>
      <c r="G79" s="6">
        <v>72.39</v>
      </c>
      <c r="H79" s="20">
        <v>-255.28</v>
      </c>
      <c r="I79" s="20">
        <v>529.1</v>
      </c>
      <c r="J79" s="20">
        <v>274.95999999999998</v>
      </c>
      <c r="K79" s="19">
        <v>0.96609999999999996</v>
      </c>
      <c r="L79" s="19">
        <v>0.56299999999999994</v>
      </c>
      <c r="M79" s="18">
        <f t="shared" si="46"/>
        <v>4.6937309999999997</v>
      </c>
      <c r="N79" s="18">
        <f t="shared" si="48"/>
        <v>12.383325759401211</v>
      </c>
      <c r="O79" s="30">
        <v>2.0068000000000001</v>
      </c>
      <c r="P79" s="30">
        <f t="shared" si="49"/>
        <v>6.5288020729519634</v>
      </c>
      <c r="Q79" s="27">
        <v>0.38669999999999999</v>
      </c>
      <c r="R79" s="6">
        <v>0.56599999999999995</v>
      </c>
      <c r="S79" s="27">
        <v>3252</v>
      </c>
      <c r="T79" s="6">
        <v>98968</v>
      </c>
      <c r="U79" s="27">
        <f t="shared" si="50"/>
        <v>1.9933655639612323E-2</v>
      </c>
      <c r="AC79" s="2">
        <f t="shared" si="45"/>
        <v>3.5507241010500321</v>
      </c>
      <c r="AD79" s="2">
        <f t="shared" si="45"/>
        <v>0.65609346991393136</v>
      </c>
      <c r="AE79" s="2">
        <f t="shared" si="45"/>
        <v>4.4222166002857994</v>
      </c>
      <c r="AF79" s="2">
        <f t="shared" si="45"/>
        <v>-15.594743109835045</v>
      </c>
      <c r="AG79" s="2">
        <f t="shared" si="45"/>
        <v>32.32207215376733</v>
      </c>
      <c r="AH79" s="2">
        <f t="shared" si="45"/>
        <v>16.79697025023599</v>
      </c>
      <c r="AI79" s="2">
        <f t="shared" si="45"/>
        <v>5.9017867903524118E-2</v>
      </c>
      <c r="AJ79" s="2">
        <f t="shared" si="45"/>
        <v>3.4392981709640905E-2</v>
      </c>
      <c r="AK79" s="2">
        <f t="shared" si="45"/>
        <v>0.2867342885132762</v>
      </c>
      <c r="AL79" s="2">
        <f t="shared" si="45"/>
        <v>0.75648223152328764</v>
      </c>
      <c r="AM79" s="2">
        <f t="shared" si="45"/>
        <v>0.12259295860551932</v>
      </c>
      <c r="AN79" s="2">
        <f t="shared" si="45"/>
        <v>0.39883653691101689</v>
      </c>
      <c r="AO79" s="2">
        <f t="shared" si="45"/>
        <v>2.362303024354909E-2</v>
      </c>
      <c r="AP79" s="2">
        <f t="shared" si="45"/>
        <v>3.45762480420191E-2</v>
      </c>
      <c r="AQ79" s="2">
        <f t="shared" si="45"/>
        <v>198.66070429796133</v>
      </c>
      <c r="AR79" s="2">
        <f t="shared" si="45"/>
        <v>6045.8341276016718</v>
      </c>
    </row>
    <row r="80" spans="1:44">
      <c r="B80" s="6" t="s">
        <v>80</v>
      </c>
      <c r="C80" s="35">
        <f>'Flash B'!I21</f>
        <v>0.1710807089098039</v>
      </c>
      <c r="D80" s="6" t="s">
        <v>79</v>
      </c>
      <c r="E80" s="18">
        <v>58.124000000000002</v>
      </c>
      <c r="F80" s="18">
        <v>31.12</v>
      </c>
      <c r="G80" s="6">
        <v>51.54</v>
      </c>
      <c r="H80" s="20">
        <v>-217.05</v>
      </c>
      <c r="I80" s="20">
        <v>550.70000000000005</v>
      </c>
      <c r="J80" s="20">
        <v>305.62</v>
      </c>
      <c r="K80" s="19">
        <v>0.93669999999999998</v>
      </c>
      <c r="L80" s="19">
        <v>0.58430000000000004</v>
      </c>
      <c r="M80" s="18">
        <f t="shared" si="46"/>
        <v>4.8713091000000004</v>
      </c>
      <c r="N80" s="18">
        <f t="shared" si="48"/>
        <v>11.931905532334213</v>
      </c>
      <c r="O80" s="30">
        <v>2.0068000000000001</v>
      </c>
      <c r="P80" s="30">
        <f t="shared" si="49"/>
        <v>6.5288020729519634</v>
      </c>
      <c r="Q80" s="27">
        <v>0.39510000000000001</v>
      </c>
      <c r="R80" s="6">
        <v>0.56599999999999995</v>
      </c>
      <c r="S80" s="27">
        <v>3262</v>
      </c>
      <c r="T80" s="6">
        <v>102918</v>
      </c>
      <c r="U80" s="27">
        <f t="shared" si="50"/>
        <v>5.3789693204652135E-2</v>
      </c>
      <c r="AC80" s="2">
        <f t="shared" si="45"/>
        <v>9.9438951246734426</v>
      </c>
      <c r="AD80" s="2">
        <f t="shared" si="45"/>
        <v>5.3240316612730973</v>
      </c>
      <c r="AE80" s="2">
        <f t="shared" si="45"/>
        <v>8.8174997372112927</v>
      </c>
      <c r="AF80" s="2">
        <f t="shared" si="45"/>
        <v>-37.133067868872935</v>
      </c>
      <c r="AG80" s="2">
        <f t="shared" si="45"/>
        <v>94.214146396629019</v>
      </c>
      <c r="AH80" s="2">
        <f t="shared" si="45"/>
        <v>52.28568625701427</v>
      </c>
      <c r="AI80" s="2">
        <f t="shared" si="45"/>
        <v>0.16025130003581331</v>
      </c>
      <c r="AJ80" s="2">
        <f t="shared" si="45"/>
        <v>9.9962458215998418E-2</v>
      </c>
      <c r="AK80" s="2">
        <f t="shared" si="45"/>
        <v>0.83338701414677885</v>
      </c>
      <c r="AL80" s="2">
        <f t="shared" si="45"/>
        <v>2.0413188571165484</v>
      </c>
      <c r="AM80" s="2">
        <f t="shared" si="45"/>
        <v>0.34332476664019446</v>
      </c>
      <c r="AN80" s="2">
        <f t="shared" si="45"/>
        <v>1.1169520869724192</v>
      </c>
      <c r="AO80" s="2">
        <f t="shared" si="45"/>
        <v>6.7593988090263527E-2</v>
      </c>
      <c r="AP80" s="2">
        <f t="shared" si="45"/>
        <v>9.6831681242948997E-2</v>
      </c>
      <c r="AQ80" s="2">
        <f t="shared" si="45"/>
        <v>558.06527246378027</v>
      </c>
      <c r="AR80" s="2">
        <f t="shared" si="45"/>
        <v>17607.284399579199</v>
      </c>
    </row>
    <row r="81" spans="2:44">
      <c r="B81" s="6" t="s">
        <v>81</v>
      </c>
      <c r="C81" s="35">
        <f>'Flash B'!I22</f>
        <v>6.4374207804573202E-2</v>
      </c>
      <c r="D81" s="6" t="s">
        <v>82</v>
      </c>
      <c r="E81" s="18">
        <v>72.150999999999996</v>
      </c>
      <c r="F81" s="18">
        <v>82.11</v>
      </c>
      <c r="G81" s="6">
        <v>20.443999999999999</v>
      </c>
      <c r="H81" s="20">
        <v>-255.82</v>
      </c>
      <c r="I81" s="20">
        <v>490.4</v>
      </c>
      <c r="J81" s="20">
        <v>369.03</v>
      </c>
      <c r="K81" s="19">
        <v>0.94799999999999995</v>
      </c>
      <c r="L81" s="19">
        <v>0.62439999999999996</v>
      </c>
      <c r="M81" s="18">
        <f t="shared" si="46"/>
        <v>5.2056227999999996</v>
      </c>
      <c r="N81" s="18">
        <f t="shared" si="48"/>
        <v>13.860205161234502</v>
      </c>
      <c r="O81" s="30">
        <v>2.4910999999999999</v>
      </c>
      <c r="P81" s="30">
        <f t="shared" si="49"/>
        <v>5.2595239051021645</v>
      </c>
      <c r="Q81" s="27">
        <v>0.38290000000000002</v>
      </c>
      <c r="R81" s="6">
        <v>0.5353</v>
      </c>
      <c r="S81" s="27">
        <v>4000</v>
      </c>
      <c r="T81" s="6">
        <v>108722</v>
      </c>
      <c r="U81" s="27">
        <f t="shared" si="50"/>
        <v>2.3510928254633145E-2</v>
      </c>
      <c r="AC81" s="2">
        <f t="shared" si="45"/>
        <v>4.6446634673077609</v>
      </c>
      <c r="AD81" s="2">
        <f t="shared" si="45"/>
        <v>5.2857662028335053</v>
      </c>
      <c r="AE81" s="2">
        <f t="shared" si="45"/>
        <v>1.3160663043566945</v>
      </c>
      <c r="AF81" s="2">
        <f t="shared" si="45"/>
        <v>-16.468209840565915</v>
      </c>
      <c r="AG81" s="2">
        <f t="shared" si="45"/>
        <v>31.569111507362695</v>
      </c>
      <c r="AH81" s="2">
        <f t="shared" si="45"/>
        <v>23.756013906121648</v>
      </c>
      <c r="AI81" s="2">
        <f t="shared" si="45"/>
        <v>6.1026748998735392E-2</v>
      </c>
      <c r="AJ81" s="2">
        <f t="shared" si="45"/>
        <v>4.0195255353175502E-2</v>
      </c>
      <c r="AK81" s="2">
        <f t="shared" si="45"/>
        <v>0.33510784387942416</v>
      </c>
      <c r="AL81" s="2">
        <f t="shared" si="45"/>
        <v>0.8922397272633279</v>
      </c>
      <c r="AM81" s="2">
        <f t="shared" si="45"/>
        <v>0.16036258906197229</v>
      </c>
      <c r="AN81" s="2">
        <f t="shared" si="45"/>
        <v>0.33857768482016709</v>
      </c>
      <c r="AO81" s="2">
        <f t="shared" si="45"/>
        <v>2.464888416837108E-2</v>
      </c>
      <c r="AP81" s="2">
        <f t="shared" si="45"/>
        <v>3.4459513437788032E-2</v>
      </c>
      <c r="AQ81" s="2">
        <f t="shared" si="45"/>
        <v>257.49683121829281</v>
      </c>
      <c r="AR81" s="2">
        <f t="shared" si="45"/>
        <v>6998.8926209288074</v>
      </c>
    </row>
    <row r="82" spans="2:44">
      <c r="B82" s="6" t="s">
        <v>83</v>
      </c>
      <c r="C82" s="35">
        <f>'Flash B'!I23</f>
        <v>7.5235476389374598E-2</v>
      </c>
      <c r="D82" s="6" t="s">
        <v>82</v>
      </c>
      <c r="E82" s="18">
        <v>72.150999999999996</v>
      </c>
      <c r="F82" s="18">
        <v>96.91</v>
      </c>
      <c r="G82" s="6">
        <v>15.574999999999999</v>
      </c>
      <c r="H82" s="20">
        <v>-201.51</v>
      </c>
      <c r="I82" s="20">
        <v>488.6</v>
      </c>
      <c r="J82" s="20">
        <v>385.6</v>
      </c>
      <c r="K82" s="19">
        <v>0.94199999999999995</v>
      </c>
      <c r="L82" s="19">
        <v>0.63109999999999999</v>
      </c>
      <c r="M82" s="18">
        <f t="shared" si="46"/>
        <v>5.2614806999999999</v>
      </c>
      <c r="N82" s="18">
        <f t="shared" si="48"/>
        <v>13.713059899659044</v>
      </c>
      <c r="O82" s="30">
        <v>2.4910999999999999</v>
      </c>
      <c r="P82" s="30">
        <f t="shared" si="49"/>
        <v>5.2595239051021645</v>
      </c>
      <c r="Q82" s="27">
        <v>0.39900000000000002</v>
      </c>
      <c r="R82" s="6">
        <v>0.54800000000000004</v>
      </c>
      <c r="S82" s="27">
        <v>4008</v>
      </c>
      <c r="T82" s="6">
        <v>110071</v>
      </c>
      <c r="U82" s="27">
        <f t="shared" si="50"/>
        <v>2.7185997214937484E-2</v>
      </c>
      <c r="AC82" s="2">
        <f t="shared" si="45"/>
        <v>5.4283148569697666</v>
      </c>
      <c r="AD82" s="2">
        <f t="shared" si="45"/>
        <v>7.2910700168942917</v>
      </c>
      <c r="AE82" s="2">
        <f t="shared" si="45"/>
        <v>1.1717925447645092</v>
      </c>
      <c r="AF82" s="2">
        <f t="shared" si="45"/>
        <v>-15.160700847222875</v>
      </c>
      <c r="AG82" s="2">
        <f t="shared" si="45"/>
        <v>36.760053763848433</v>
      </c>
      <c r="AH82" s="2">
        <f t="shared" si="45"/>
        <v>29.010799695742847</v>
      </c>
      <c r="AI82" s="2">
        <f t="shared" si="45"/>
        <v>7.0871818758790867E-2</v>
      </c>
      <c r="AJ82" s="2">
        <f t="shared" si="45"/>
        <v>4.7481109149334309E-2</v>
      </c>
      <c r="AK82" s="2">
        <f t="shared" si="45"/>
        <v>0.3958500069780001</v>
      </c>
      <c r="AL82" s="2">
        <f t="shared" si="45"/>
        <v>1.0317085943068776</v>
      </c>
      <c r="AM82" s="2">
        <f t="shared" si="45"/>
        <v>0.18741909523357106</v>
      </c>
      <c r="AN82" s="2">
        <f t="shared" si="45"/>
        <v>0.39570278658166519</v>
      </c>
      <c r="AO82" s="2">
        <f t="shared" si="45"/>
        <v>3.0018955079360466E-2</v>
      </c>
      <c r="AP82" s="2">
        <f t="shared" si="45"/>
        <v>4.1229041061377279E-2</v>
      </c>
      <c r="AQ82" s="2">
        <f t="shared" si="45"/>
        <v>301.54378936861337</v>
      </c>
      <c r="AR82" s="2">
        <f t="shared" si="45"/>
        <v>8281.2441216548505</v>
      </c>
    </row>
    <row r="83" spans="2:44">
      <c r="B83" s="6" t="s">
        <v>84</v>
      </c>
      <c r="C83" s="35">
        <f>'Flash B'!I24</f>
        <v>0.10413069804526275</v>
      </c>
      <c r="D83" s="6" t="s">
        <v>85</v>
      </c>
      <c r="E83" s="18">
        <v>86.177999999999997</v>
      </c>
      <c r="F83" s="18">
        <v>155.72999999999999</v>
      </c>
      <c r="G83" s="6">
        <v>4.96</v>
      </c>
      <c r="H83" s="20">
        <v>-139.58000000000001</v>
      </c>
      <c r="I83" s="20">
        <v>710.4</v>
      </c>
      <c r="J83" s="20">
        <v>453.6</v>
      </c>
      <c r="K83" s="19">
        <v>0.91</v>
      </c>
      <c r="L83" s="19">
        <v>0.66400000000000003</v>
      </c>
      <c r="M83" s="18">
        <f t="shared" si="46"/>
        <v>5.535768</v>
      </c>
      <c r="N83" s="18">
        <f t="shared" si="48"/>
        <v>15.567487654829465</v>
      </c>
      <c r="O83" s="30">
        <v>2.9752999999999998</v>
      </c>
      <c r="P83" s="30">
        <f t="shared" si="49"/>
        <v>4.4035895539945553</v>
      </c>
      <c r="Q83" s="27">
        <v>0.38569999999999999</v>
      </c>
      <c r="R83" s="6">
        <v>0.53320000000000001</v>
      </c>
      <c r="S83" s="27">
        <v>4756</v>
      </c>
      <c r="T83" s="6">
        <v>115055</v>
      </c>
      <c r="U83" s="27">
        <f t="shared" si="50"/>
        <v>4.2715503460036948E-2</v>
      </c>
      <c r="AC83" s="2">
        <f t="shared" si="45"/>
        <v>8.9737752961446517</v>
      </c>
      <c r="AD83" s="2">
        <f t="shared" si="45"/>
        <v>16.216273606588768</v>
      </c>
      <c r="AE83" s="2">
        <f t="shared" si="45"/>
        <v>0.51648826230450318</v>
      </c>
      <c r="AF83" s="2">
        <f t="shared" si="45"/>
        <v>-14.534562833157775</v>
      </c>
      <c r="AG83" s="2">
        <f t="shared" si="45"/>
        <v>73.974447891354657</v>
      </c>
      <c r="AH83" s="2">
        <f t="shared" si="45"/>
        <v>47.233684633331187</v>
      </c>
      <c r="AI83" s="2">
        <f t="shared" si="45"/>
        <v>9.4758935221189097E-2</v>
      </c>
      <c r="AJ83" s="2">
        <f t="shared" si="45"/>
        <v>6.9142783502054467E-2</v>
      </c>
      <c r="AK83" s="2">
        <f t="shared" si="45"/>
        <v>0.57644338605662804</v>
      </c>
      <c r="AL83" s="2">
        <f t="shared" si="45"/>
        <v>1.6210533563084024</v>
      </c>
      <c r="AM83" s="2">
        <f t="shared" si="45"/>
        <v>0.30982006589407024</v>
      </c>
      <c r="AN83" s="2">
        <f t="shared" si="45"/>
        <v>0.45854885416228031</v>
      </c>
      <c r="AO83" s="2">
        <f t="shared" si="45"/>
        <v>4.0163210236057838E-2</v>
      </c>
      <c r="AP83" s="2">
        <f t="shared" si="45"/>
        <v>5.5522488197734095E-2</v>
      </c>
      <c r="AQ83" s="2">
        <f t="shared" si="45"/>
        <v>495.24559990326964</v>
      </c>
      <c r="AR83" s="2">
        <f t="shared" si="45"/>
        <v>11980.757463597705</v>
      </c>
    </row>
    <row r="84" spans="2:44">
      <c r="B84" s="6" t="s">
        <v>86</v>
      </c>
      <c r="C84" s="35">
        <f>'Flash B'!I25/4</f>
        <v>1.2020413740164165E-4</v>
      </c>
      <c r="D84" s="6" t="s">
        <v>87</v>
      </c>
      <c r="E84" s="18">
        <v>78.114000000000004</v>
      </c>
      <c r="F84" s="18">
        <v>176.16</v>
      </c>
      <c r="G84" s="6">
        <v>3.2250000000000001</v>
      </c>
      <c r="H84" s="20">
        <v>41.96</v>
      </c>
      <c r="I84" s="20">
        <v>710.4</v>
      </c>
      <c r="J84" s="20">
        <v>552.22</v>
      </c>
      <c r="K84" s="19">
        <v>0.92900000000000005</v>
      </c>
      <c r="L84" s="19">
        <v>0.88449999999999995</v>
      </c>
      <c r="M84" s="18">
        <f t="shared" si="46"/>
        <v>7.3740764999999993</v>
      </c>
      <c r="N84" s="18">
        <f t="shared" si="48"/>
        <v>10.593055279532292</v>
      </c>
      <c r="O84" s="30">
        <v>2.6968999999999999</v>
      </c>
      <c r="P84" s="30">
        <f t="shared" si="49"/>
        <v>4.8581704920464244</v>
      </c>
      <c r="Q84" s="27">
        <v>0.2422</v>
      </c>
      <c r="R84" s="6">
        <v>0.4098</v>
      </c>
      <c r="S84" s="27">
        <v>3741</v>
      </c>
      <c r="T84" s="6">
        <v>132651</v>
      </c>
      <c r="U84" s="27">
        <f t="shared" si="50"/>
        <v>3.3552808229883668E-5</v>
      </c>
      <c r="AC84" s="2">
        <f t="shared" si="45"/>
        <v>9.3896259889918367E-3</v>
      </c>
      <c r="AD84" s="2">
        <f t="shared" si="45"/>
        <v>2.1175160844673191E-2</v>
      </c>
      <c r="AE84" s="2">
        <f t="shared" si="45"/>
        <v>3.8765834312029431E-4</v>
      </c>
      <c r="AF84" s="2">
        <f t="shared" si="45"/>
        <v>5.0437656053728833E-3</v>
      </c>
      <c r="AG84" s="2">
        <f t="shared" si="45"/>
        <v>8.5393019210126223E-2</v>
      </c>
      <c r="AH84" s="2">
        <f t="shared" si="45"/>
        <v>6.6379128755934561E-2</v>
      </c>
      <c r="AI84" s="2">
        <f t="shared" si="45"/>
        <v>1.116696436461251E-4</v>
      </c>
      <c r="AJ84" s="2">
        <f t="shared" si="45"/>
        <v>1.0632055953175204E-4</v>
      </c>
      <c r="AK84" s="2">
        <f t="shared" si="45"/>
        <v>8.863945048162167E-4</v>
      </c>
      <c r="AL84" s="2">
        <f t="shared" si="45"/>
        <v>1.2733290723240852E-3</v>
      </c>
      <c r="AM84" s="2">
        <f t="shared" si="45"/>
        <v>3.2417853815848734E-4</v>
      </c>
      <c r="AN84" s="2">
        <f t="shared" si="45"/>
        <v>5.8397219334654937E-4</v>
      </c>
      <c r="AO84" s="2">
        <f t="shared" si="45"/>
        <v>2.9113442078677607E-5</v>
      </c>
      <c r="AP84" s="2">
        <f t="shared" si="45"/>
        <v>4.9259655507192747E-5</v>
      </c>
      <c r="AQ84" s="2">
        <f t="shared" si="45"/>
        <v>0.4496836780195414</v>
      </c>
      <c r="AR84" s="2">
        <f t="shared" si="45"/>
        <v>15.945199030465167</v>
      </c>
    </row>
    <row r="85" spans="2:44">
      <c r="B85" s="6" t="s">
        <v>88</v>
      </c>
      <c r="C85" s="35">
        <f>C84</f>
        <v>1.2020413740164165E-4</v>
      </c>
      <c r="D85" s="6" t="s">
        <v>89</v>
      </c>
      <c r="E85" s="18">
        <v>92.141000000000005</v>
      </c>
      <c r="F85" s="18">
        <v>231.13</v>
      </c>
      <c r="G85" s="6">
        <v>1.0029999999999999</v>
      </c>
      <c r="H85" s="20">
        <v>-138.97999999999999</v>
      </c>
      <c r="I85" s="20">
        <v>595.5</v>
      </c>
      <c r="J85" s="20">
        <v>605.57000000000005</v>
      </c>
      <c r="K85" s="19">
        <v>0.90300000000000002</v>
      </c>
      <c r="L85" s="19">
        <v>0.87190000000000001</v>
      </c>
      <c r="M85" s="18">
        <f t="shared" si="46"/>
        <v>7.2690302999999998</v>
      </c>
      <c r="N85" s="18">
        <f t="shared" si="48"/>
        <v>12.675831052733404</v>
      </c>
      <c r="O85" s="30">
        <v>3.1812</v>
      </c>
      <c r="P85" s="30">
        <f t="shared" si="49"/>
        <v>4.118571608198164</v>
      </c>
      <c r="Q85" s="27">
        <v>0.25979999999999998</v>
      </c>
      <c r="R85" s="6">
        <v>0.40089999999999998</v>
      </c>
      <c r="S85" s="27">
        <v>4475</v>
      </c>
      <c r="T85" s="6">
        <v>132659</v>
      </c>
      <c r="U85" s="27">
        <f t="shared" si="50"/>
        <v>4.0149863966871201E-5</v>
      </c>
      <c r="AC85" s="2">
        <f t="shared" si="45"/>
        <v>1.1075729424324663E-2</v>
      </c>
      <c r="AD85" s="2">
        <f t="shared" si="45"/>
        <v>2.7782782277641433E-2</v>
      </c>
      <c r="AE85" s="2">
        <f t="shared" si="45"/>
        <v>1.2056474981384656E-4</v>
      </c>
      <c r="AF85" s="2">
        <f t="shared" si="45"/>
        <v>-1.6705971016080155E-2</v>
      </c>
      <c r="AG85" s="2">
        <f t="shared" si="45"/>
        <v>7.1581563822677607E-2</v>
      </c>
      <c r="AH85" s="2">
        <f t="shared" si="45"/>
        <v>7.2792019486312143E-2</v>
      </c>
      <c r="AI85" s="2">
        <f t="shared" si="45"/>
        <v>1.0854433607368242E-4</v>
      </c>
      <c r="AJ85" s="2">
        <f t="shared" si="45"/>
        <v>1.0480598740049135E-4</v>
      </c>
      <c r="AK85" s="2">
        <f t="shared" si="45"/>
        <v>8.7376751695789642E-4</v>
      </c>
      <c r="AL85" s="2">
        <f t="shared" si="45"/>
        <v>1.5236873375427621E-3</v>
      </c>
      <c r="AM85" s="2">
        <f t="shared" si="45"/>
        <v>3.8239340190210244E-4</v>
      </c>
      <c r="AN85" s="2">
        <f t="shared" si="45"/>
        <v>4.9506934749035236E-4</v>
      </c>
      <c r="AO85" s="2">
        <f t="shared" si="45"/>
        <v>3.12290348969465E-5</v>
      </c>
      <c r="AP85" s="2">
        <f t="shared" si="45"/>
        <v>4.8189838684318136E-5</v>
      </c>
      <c r="AQ85" s="2">
        <f t="shared" si="45"/>
        <v>0.5379135148723464</v>
      </c>
      <c r="AR85" s="2">
        <f t="shared" si="45"/>
        <v>15.946160663564379</v>
      </c>
    </row>
    <row r="86" spans="2:44">
      <c r="B86" s="6" t="s">
        <v>90</v>
      </c>
      <c r="C86" s="35">
        <f>C85</f>
        <v>1.2020413740164165E-4</v>
      </c>
      <c r="D86" s="6" t="s">
        <v>91</v>
      </c>
      <c r="E86" s="18">
        <v>106.16800000000001</v>
      </c>
      <c r="F86" s="18">
        <v>277.16000000000003</v>
      </c>
      <c r="G86" s="6">
        <v>0.37159999999999999</v>
      </c>
      <c r="H86" s="20">
        <v>-138.96</v>
      </c>
      <c r="I86" s="20">
        <v>523.4</v>
      </c>
      <c r="J86" s="20">
        <v>651.29</v>
      </c>
      <c r="K86" s="19"/>
      <c r="L86" s="19">
        <v>0.87170000000000003</v>
      </c>
      <c r="M86" s="18">
        <f t="shared" si="46"/>
        <v>7.2673629000000002</v>
      </c>
      <c r="N86" s="18">
        <f t="shared" si="48"/>
        <v>14.608875524848223</v>
      </c>
      <c r="O86" s="30">
        <v>3.6655000000000002</v>
      </c>
      <c r="P86" s="30">
        <f t="shared" si="49"/>
        <v>3.5744100395580412</v>
      </c>
      <c r="Q86" s="27">
        <v>0.27950000000000003</v>
      </c>
      <c r="R86" s="6">
        <v>0.4113</v>
      </c>
      <c r="S86" s="27">
        <v>5222</v>
      </c>
      <c r="T86" s="6">
        <v>134381</v>
      </c>
      <c r="U86" s="27">
        <f t="shared" si="50"/>
        <v>4.6272655622459433E-5</v>
      </c>
      <c r="AC86" s="2">
        <f t="shared" si="45"/>
        <v>1.2761832859657492E-2</v>
      </c>
      <c r="AD86" s="2">
        <f t="shared" si="45"/>
        <v>3.3315778722239002E-2</v>
      </c>
      <c r="AE86" s="2">
        <f t="shared" si="45"/>
        <v>4.4667857458450032E-5</v>
      </c>
      <c r="AF86" s="2">
        <f t="shared" si="45"/>
        <v>-1.6703566933332123E-2</v>
      </c>
      <c r="AG86" s="2">
        <f t="shared" si="45"/>
        <v>6.2914845516019238E-2</v>
      </c>
      <c r="AH86" s="2">
        <f t="shared" si="45"/>
        <v>7.8287752648315181E-2</v>
      </c>
      <c r="AI86" s="2">
        <f t="shared" si="45"/>
        <v>0</v>
      </c>
      <c r="AJ86" s="2">
        <f t="shared" si="45"/>
        <v>1.0478194657301103E-4</v>
      </c>
      <c r="AK86" s="2">
        <f t="shared" si="45"/>
        <v>8.7356708857919292E-4</v>
      </c>
      <c r="AL86" s="2">
        <f t="shared" si="45"/>
        <v>1.7560472808723355E-3</v>
      </c>
      <c r="AM86" s="2">
        <f t="shared" si="45"/>
        <v>4.4060826564571749E-4</v>
      </c>
      <c r="AN86" s="2">
        <f t="shared" si="45"/>
        <v>4.2965887552484216E-4</v>
      </c>
      <c r="AO86" s="2">
        <f t="shared" si="45"/>
        <v>3.3597056403758844E-5</v>
      </c>
      <c r="AP86" s="2">
        <f t="shared" si="45"/>
        <v>4.9439961713295208E-5</v>
      </c>
      <c r="AQ86" s="2">
        <f t="shared" si="45"/>
        <v>0.62770600551137268</v>
      </c>
      <c r="AR86" s="2">
        <f t="shared" si="45"/>
        <v>16.153152188170008</v>
      </c>
    </row>
    <row r="87" spans="2:44">
      <c r="B87" s="6" t="s">
        <v>92</v>
      </c>
      <c r="C87" s="35">
        <f>C86</f>
        <v>1.2020413740164165E-4</v>
      </c>
      <c r="D87" s="6" t="s">
        <v>93</v>
      </c>
      <c r="E87" s="18">
        <v>106.16800000000001</v>
      </c>
      <c r="F87" s="18">
        <v>291.97000000000003</v>
      </c>
      <c r="G87" s="6">
        <v>0.26429999999999998</v>
      </c>
      <c r="H87" s="20">
        <v>-13.32</v>
      </c>
      <c r="I87" s="20">
        <v>541.6</v>
      </c>
      <c r="J87" s="20">
        <v>674.92</v>
      </c>
      <c r="K87" s="19"/>
      <c r="L87" s="19">
        <v>0.88470000000000004</v>
      </c>
      <c r="M87" s="18">
        <f t="shared" si="46"/>
        <v>7.3757438999999998</v>
      </c>
      <c r="N87" s="18">
        <f t="shared" si="48"/>
        <v>14.394209104792807</v>
      </c>
      <c r="O87" s="30">
        <v>3.6655000000000002</v>
      </c>
      <c r="P87" s="30">
        <f t="shared" si="49"/>
        <v>3.5744100395580412</v>
      </c>
      <c r="Q87" s="27">
        <v>0.29139999999999999</v>
      </c>
      <c r="R87" s="6">
        <v>0.41610000000000003</v>
      </c>
      <c r="S87" s="27">
        <v>5209</v>
      </c>
      <c r="T87" s="6">
        <v>136036</v>
      </c>
      <c r="U87" s="27">
        <f t="shared" si="50"/>
        <v>4.5592713808181183E-5</v>
      </c>
      <c r="AC87" s="2">
        <f t="shared" si="45"/>
        <v>1.2761832859657492E-2</v>
      </c>
      <c r="AD87" s="2">
        <f t="shared" si="45"/>
        <v>3.5096001997157317E-2</v>
      </c>
      <c r="AE87" s="2">
        <f t="shared" si="45"/>
        <v>3.1769953515253883E-5</v>
      </c>
      <c r="AF87" s="2">
        <f t="shared" si="45"/>
        <v>-1.6011191101898668E-3</v>
      </c>
      <c r="AG87" s="2">
        <f t="shared" si="45"/>
        <v>6.5102560816729119E-2</v>
      </c>
      <c r="AH87" s="2">
        <f t="shared" si="45"/>
        <v>8.112817641511598E-2</v>
      </c>
      <c r="AI87" s="2">
        <f t="shared" si="45"/>
        <v>0</v>
      </c>
      <c r="AJ87" s="2">
        <f t="shared" si="45"/>
        <v>1.0634460035923238E-4</v>
      </c>
      <c r="AK87" s="2">
        <f t="shared" si="45"/>
        <v>8.865949331949202E-4</v>
      </c>
      <c r="AL87" s="2">
        <f t="shared" si="45"/>
        <v>1.7302434890204758E-3</v>
      </c>
      <c r="AM87" s="2">
        <f t="shared" si="45"/>
        <v>4.4060826564571749E-4</v>
      </c>
      <c r="AN87" s="2">
        <f t="shared" si="45"/>
        <v>4.2965887552484216E-4</v>
      </c>
      <c r="AO87" s="2">
        <f t="shared" si="45"/>
        <v>3.5027485638838377E-5</v>
      </c>
      <c r="AP87" s="2">
        <f t="shared" si="45"/>
        <v>5.0016941572823091E-5</v>
      </c>
      <c r="AQ87" s="2">
        <f t="shared" si="45"/>
        <v>0.62614335172515134</v>
      </c>
      <c r="AR87" s="2">
        <f t="shared" si="45"/>
        <v>16.352090035569724</v>
      </c>
    </row>
    <row r="88" spans="2:44">
      <c r="B88" s="6" t="s">
        <v>1</v>
      </c>
      <c r="C88" s="35">
        <v>0</v>
      </c>
      <c r="D88" s="6" t="s">
        <v>94</v>
      </c>
      <c r="E88" s="18">
        <v>18.015000000000001</v>
      </c>
      <c r="F88" s="18">
        <v>212</v>
      </c>
      <c r="G88" s="6">
        <v>0.94950000000000001</v>
      </c>
      <c r="H88" s="20">
        <v>32</v>
      </c>
      <c r="I88" s="20">
        <v>3207.9</v>
      </c>
      <c r="J88" s="20">
        <v>705.5</v>
      </c>
      <c r="K88" s="19">
        <v>0.34339999999999998</v>
      </c>
      <c r="L88" s="19">
        <v>1</v>
      </c>
      <c r="M88" s="18">
        <v>8.3369999999999997</v>
      </c>
      <c r="N88" s="18">
        <f t="shared" si="48"/>
        <v>2.1608492263404102</v>
      </c>
      <c r="O88" s="30">
        <v>21.06</v>
      </c>
      <c r="P88" s="30">
        <f t="shared" si="49"/>
        <v>0.62212725546058889</v>
      </c>
      <c r="Q88" s="27">
        <v>0.44469999999999998</v>
      </c>
      <c r="R88" s="6">
        <v>1.0009999999999999</v>
      </c>
      <c r="S88" s="27">
        <v>49</v>
      </c>
      <c r="T88" s="6">
        <v>0</v>
      </c>
      <c r="U88" s="27"/>
      <c r="AC88" s="2">
        <f t="shared" si="45"/>
        <v>0</v>
      </c>
      <c r="AD88" s="2">
        <f t="shared" si="45"/>
        <v>0</v>
      </c>
      <c r="AE88" s="2">
        <f t="shared" si="45"/>
        <v>0</v>
      </c>
      <c r="AF88" s="2">
        <f t="shared" si="45"/>
        <v>0</v>
      </c>
      <c r="AG88" s="2">
        <f t="shared" si="45"/>
        <v>0</v>
      </c>
      <c r="AH88" s="2">
        <f t="shared" si="45"/>
        <v>0</v>
      </c>
      <c r="AI88" s="2">
        <f t="shared" si="45"/>
        <v>0</v>
      </c>
      <c r="AJ88" s="2">
        <f t="shared" si="45"/>
        <v>0</v>
      </c>
      <c r="AK88" s="2">
        <f t="shared" si="45"/>
        <v>0</v>
      </c>
      <c r="AL88" s="2">
        <f t="shared" si="45"/>
        <v>0</v>
      </c>
      <c r="AM88" s="2">
        <f t="shared" si="45"/>
        <v>0</v>
      </c>
      <c r="AN88" s="2">
        <f t="shared" si="45"/>
        <v>0</v>
      </c>
      <c r="AO88" s="2">
        <f t="shared" si="45"/>
        <v>0</v>
      </c>
      <c r="AP88" s="2">
        <f t="shared" si="45"/>
        <v>0</v>
      </c>
      <c r="AQ88" s="2">
        <f t="shared" si="45"/>
        <v>0</v>
      </c>
      <c r="AR88" s="2">
        <f t="shared" ref="AR88" si="51">T88*$C88</f>
        <v>0</v>
      </c>
    </row>
    <row r="89" spans="2:44">
      <c r="B89" s="6" t="s">
        <v>95</v>
      </c>
      <c r="C89" s="35">
        <f>SUM(C73:C88)</f>
        <v>0.95885726193460763</v>
      </c>
      <c r="D89" s="6"/>
      <c r="E89" s="18">
        <f>AC89</f>
        <v>49.039060852585195</v>
      </c>
      <c r="F89" s="18">
        <f t="shared" ref="F89:T89" si="52">AD89</f>
        <v>-23.702546169477156</v>
      </c>
      <c r="G89" s="18">
        <f t="shared" si="52"/>
        <v>730.14969423153525</v>
      </c>
      <c r="H89" s="18">
        <f t="shared" si="52"/>
        <v>-234.89293890680233</v>
      </c>
      <c r="I89" s="18">
        <f t="shared" si="52"/>
        <v>601.21798488905313</v>
      </c>
      <c r="J89" s="18">
        <f t="shared" si="52"/>
        <v>212.79540074999258</v>
      </c>
      <c r="K89" s="18">
        <f t="shared" si="52"/>
        <v>0.92368244330579807</v>
      </c>
      <c r="L89" s="18">
        <f t="shared" si="52"/>
        <v>0.50760886813143691</v>
      </c>
      <c r="M89" s="18">
        <f t="shared" si="52"/>
        <v>4.2319351336117901</v>
      </c>
      <c r="N89" s="18">
        <f t="shared" si="52"/>
        <v>10.736192298050664</v>
      </c>
      <c r="O89" s="28">
        <f t="shared" si="52"/>
        <v>1.9860669165325786</v>
      </c>
      <c r="P89" s="28">
        <f t="shared" si="52"/>
        <v>8.7858852068535889</v>
      </c>
      <c r="Q89" s="28">
        <f t="shared" si="52"/>
        <v>0.38424865688139198</v>
      </c>
      <c r="R89" s="18">
        <f t="shared" si="52"/>
        <v>0.49316541379748668</v>
      </c>
      <c r="S89" s="28">
        <f t="shared" si="52"/>
        <v>2662.6643522399168</v>
      </c>
      <c r="T89" s="18">
        <f t="shared" si="52"/>
        <v>77653.959475743846</v>
      </c>
      <c r="U89" s="28">
        <f>SUM(U77:U87)</f>
        <v>0.25627923111411238</v>
      </c>
      <c r="V89" s="11"/>
      <c r="W89" s="11"/>
      <c r="X89" s="11"/>
      <c r="Y89" s="11"/>
      <c r="Z89" s="11"/>
      <c r="AA89" s="11"/>
      <c r="AC89" s="2">
        <f>SUM(AC73:AC88)</f>
        <v>49.039060852585195</v>
      </c>
      <c r="AD89" s="2">
        <f t="shared" ref="AD89:AR89" si="53">SUM(AD73:AD88)</f>
        <v>-23.702546169477156</v>
      </c>
      <c r="AE89" s="2">
        <f t="shared" si="53"/>
        <v>730.14969423153525</v>
      </c>
      <c r="AF89" s="2">
        <f t="shared" si="53"/>
        <v>-234.89293890680233</v>
      </c>
      <c r="AG89" s="2">
        <f t="shared" si="53"/>
        <v>601.21798488905313</v>
      </c>
      <c r="AH89" s="2">
        <f t="shared" si="53"/>
        <v>212.79540074999258</v>
      </c>
      <c r="AI89" s="2">
        <f t="shared" si="53"/>
        <v>0.92368244330579807</v>
      </c>
      <c r="AJ89" s="2">
        <f t="shared" si="53"/>
        <v>0.50760886813143691</v>
      </c>
      <c r="AK89" s="2">
        <f t="shared" si="53"/>
        <v>4.2319351336117901</v>
      </c>
      <c r="AL89" s="2">
        <f t="shared" si="53"/>
        <v>10.736192298050664</v>
      </c>
      <c r="AM89" s="2">
        <f t="shared" si="53"/>
        <v>1.9860669165325786</v>
      </c>
      <c r="AN89" s="2">
        <f t="shared" si="53"/>
        <v>8.7858852068535889</v>
      </c>
      <c r="AO89" s="2">
        <f t="shared" si="53"/>
        <v>0.38424865688139198</v>
      </c>
      <c r="AP89" s="2">
        <f t="shared" si="53"/>
        <v>0.49316541379748668</v>
      </c>
      <c r="AQ89" s="2">
        <f t="shared" si="53"/>
        <v>2662.6643522399168</v>
      </c>
      <c r="AR89" s="2">
        <f t="shared" si="53"/>
        <v>77653.959475743846</v>
      </c>
    </row>
  </sheetData>
  <protectedRanges>
    <protectedRange sqref="V12:W20" name="نطاق3_1"/>
    <protectedRange sqref="V8:W8" name="نطاق3_2"/>
    <protectedRange sqref="X9:X24" name="نطاق3_4"/>
    <protectedRange sqref="Y8" name="نطاق3_6"/>
    <protectedRange sqref="Y9:Y24" name="نطاق3_7"/>
    <protectedRange sqref="V5:W5 X6:Y6" name="نطاق3_8"/>
    <protectedRange sqref="Z2:AA2" name="نطاق3_9"/>
    <protectedRange sqref="Z9:Z24" name="نطاق3_10"/>
    <protectedRange sqref="Z3" name="نطاق3_11"/>
    <protectedRange sqref="Z8" name="نطاق3_12"/>
    <protectedRange sqref="AA9:AB24" name="نطاق3_13"/>
    <protectedRange sqref="AA8:AB8" name="نطاق3_14"/>
    <protectedRange sqref="AC8:AD8" name="نطاق3_15"/>
    <protectedRange sqref="AH2 AB2:AD6" name="نطاق3_16"/>
    <protectedRange sqref="AG2:AG5" name="نطاق3_17"/>
  </protectedRanges>
  <scenarios current="0">
    <scenario name="flash 1" count="1" user="Wayne Landon" comment="Created by Wayne Landon on 2/28/2025">
      <inputCells r="AA2" val="0.982119957531923" numFmtId="169"/>
    </scenario>
  </scenarios>
  <mergeCells count="6">
    <mergeCell ref="L7:N7"/>
    <mergeCell ref="O7:P7"/>
    <mergeCell ref="L50:N50"/>
    <mergeCell ref="O50:P50"/>
    <mergeCell ref="L71:N71"/>
    <mergeCell ref="O71:P7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B7E9-4B34-4080-836D-B4CF51489F8D}">
  <sheetPr codeName="Sheet17">
    <tabColor theme="7" tint="0.79998168889431442"/>
  </sheetPr>
  <dimension ref="B1:AA103"/>
  <sheetViews>
    <sheetView workbookViewId="0"/>
  </sheetViews>
  <sheetFormatPr defaultRowHeight="15"/>
  <cols>
    <col min="1" max="1" width="3.42578125" customWidth="1"/>
    <col min="2" max="2" width="9.28515625" customWidth="1"/>
    <col min="7" max="7" width="8.7109375" customWidth="1"/>
    <col min="8" max="8" width="15.28515625" customWidth="1"/>
    <col min="9" max="12" width="12" bestFit="1" customWidth="1"/>
    <col min="13" max="19" width="10.7109375" customWidth="1"/>
    <col min="21" max="22" width="12" bestFit="1" customWidth="1"/>
    <col min="23" max="24" width="12.28515625" bestFit="1" customWidth="1"/>
    <col min="25" max="25" width="12.5703125" bestFit="1" customWidth="1"/>
    <col min="26" max="26" width="12.28515625" bestFit="1" customWidth="1"/>
    <col min="27" max="27" width="12.5703125" bestFit="1" customWidth="1"/>
    <col min="28" max="28" width="12" bestFit="1" customWidth="1"/>
    <col min="29" max="32" width="12.28515625" bestFit="1" customWidth="1"/>
  </cols>
  <sheetData>
    <row r="1" spans="2:15" ht="18.75">
      <c r="B1" s="268" t="s">
        <v>603</v>
      </c>
    </row>
    <row r="2" spans="2:15">
      <c r="B2" s="269" t="s">
        <v>604</v>
      </c>
    </row>
    <row r="4" spans="2:15" ht="15.75" thickBot="1">
      <c r="B4" s="195" t="s">
        <v>270</v>
      </c>
    </row>
    <row r="5" spans="2:15" ht="19.5" thickBot="1">
      <c r="B5" s="270"/>
      <c r="C5" s="118"/>
      <c r="D5" s="118" t="s">
        <v>417</v>
      </c>
      <c r="E5" s="275">
        <f>Drawing!K34</f>
        <v>100</v>
      </c>
      <c r="F5" s="276"/>
      <c r="H5" s="43"/>
      <c r="I5" s="284" t="s">
        <v>610</v>
      </c>
      <c r="J5" s="43"/>
      <c r="K5" s="43"/>
      <c r="L5" s="43"/>
      <c r="M5" s="43"/>
      <c r="N5" s="43"/>
      <c r="O5" s="43"/>
    </row>
    <row r="6" spans="2:15" ht="18.75">
      <c r="B6" s="271"/>
      <c r="D6" t="s">
        <v>416</v>
      </c>
      <c r="E6">
        <f>E5-14.7</f>
        <v>85.3</v>
      </c>
      <c r="F6" s="110"/>
      <c r="H6" s="260" t="s">
        <v>500</v>
      </c>
    </row>
    <row r="7" spans="2:15">
      <c r="B7" s="271"/>
      <c r="D7" t="s">
        <v>415</v>
      </c>
      <c r="E7" s="272">
        <f>Drawing!K35</f>
        <v>105.45833333333333</v>
      </c>
      <c r="F7" s="277"/>
    </row>
    <row r="8" spans="2:15">
      <c r="B8" s="271"/>
      <c r="D8" t="s">
        <v>380</v>
      </c>
      <c r="E8" s="131">
        <f>E7+460</f>
        <v>565.45833333333337</v>
      </c>
      <c r="F8" s="278"/>
    </row>
    <row r="9" spans="2:15">
      <c r="B9" s="271"/>
      <c r="D9" s="199" t="s">
        <v>377</v>
      </c>
      <c r="E9" s="212">
        <f>E10-273</f>
        <v>41.143518518518533</v>
      </c>
      <c r="F9" s="279"/>
    </row>
    <row r="10" spans="2:15">
      <c r="B10" s="271"/>
      <c r="D10" t="s">
        <v>379</v>
      </c>
      <c r="E10" s="212">
        <f>E8*5/9</f>
        <v>314.14351851851853</v>
      </c>
      <c r="F10" s="279"/>
    </row>
    <row r="11" spans="2:15">
      <c r="B11" s="271"/>
      <c r="F11" s="110"/>
    </row>
    <row r="12" spans="2:15">
      <c r="B12" s="271"/>
      <c r="C12" t="s">
        <v>606</v>
      </c>
      <c r="E12" s="32" t="s">
        <v>605</v>
      </c>
      <c r="F12" s="280"/>
    </row>
    <row r="13" spans="2:15">
      <c r="B13" s="271"/>
      <c r="F13" s="110"/>
    </row>
    <row r="14" spans="2:15">
      <c r="B14" s="271" t="s">
        <v>609</v>
      </c>
      <c r="E14" s="273">
        <f>I57</f>
        <v>535.42711380132914</v>
      </c>
      <c r="F14" s="281"/>
      <c r="H14" t="s">
        <v>413</v>
      </c>
    </row>
    <row r="15" spans="2:15">
      <c r="B15" s="271" t="s">
        <v>607</v>
      </c>
      <c r="E15" s="273">
        <f>I20</f>
        <v>552.71943551995355</v>
      </c>
      <c r="F15" s="281"/>
    </row>
    <row r="16" spans="2:15" ht="15.75" thickBot="1">
      <c r="B16" s="274" t="s">
        <v>608</v>
      </c>
      <c r="C16" s="43"/>
      <c r="D16" s="43"/>
      <c r="E16" s="282">
        <f>K103</f>
        <v>931.42283011017105</v>
      </c>
      <c r="F16" s="283"/>
      <c r="H16" t="s">
        <v>113</v>
      </c>
      <c r="I16" s="212">
        <f>10^(6.69449-3083.7/(O28+459.67))</f>
        <v>17.292321718624297</v>
      </c>
    </row>
    <row r="17" spans="8:27">
      <c r="I17" s="212"/>
    </row>
    <row r="18" spans="8:27">
      <c r="H18" t="s">
        <v>418</v>
      </c>
      <c r="I18" s="149">
        <f>T45/E5</f>
        <v>1.1288785869730745E-2</v>
      </c>
    </row>
    <row r="19" spans="8:27">
      <c r="I19" s="149"/>
    </row>
    <row r="20" spans="8:27">
      <c r="H20" s="266" t="s">
        <v>414</v>
      </c>
      <c r="I20" s="267">
        <f>I18*47430+I16</f>
        <v>552.71943551995355</v>
      </c>
      <c r="K20">
        <f>I20/47430</f>
        <v>1.1653372032889596E-2</v>
      </c>
    </row>
    <row r="22" spans="8:27" ht="18.75">
      <c r="H22" s="260" t="s">
        <v>499</v>
      </c>
    </row>
    <row r="23" spans="8:27" ht="38.25" customHeight="1">
      <c r="H23" s="352" t="s">
        <v>370</v>
      </c>
      <c r="I23" s="352"/>
      <c r="J23" s="352"/>
      <c r="K23" s="352"/>
      <c r="L23" s="352"/>
      <c r="M23" s="352"/>
      <c r="N23" s="352"/>
      <c r="O23" s="352"/>
      <c r="P23" s="352"/>
      <c r="Q23" s="352"/>
      <c r="R23" s="352"/>
      <c r="S23" s="352"/>
      <c r="T23" s="352"/>
      <c r="U23" s="352"/>
      <c r="V23" s="352"/>
      <c r="W23" s="352"/>
      <c r="X23" s="352"/>
      <c r="Y23" s="352"/>
      <c r="Z23" s="352"/>
      <c r="AA23" s="352"/>
    </row>
    <row r="24" spans="8:27">
      <c r="H24" s="198"/>
    </row>
    <row r="25" spans="8:27">
      <c r="H25" s="198"/>
    </row>
    <row r="27" spans="8:27">
      <c r="H27" s="198" t="s">
        <v>371</v>
      </c>
    </row>
    <row r="28" spans="8:27">
      <c r="H28" s="198"/>
      <c r="N28" t="s">
        <v>378</v>
      </c>
      <c r="O28" s="215">
        <f>E7</f>
        <v>105.45833333333333</v>
      </c>
    </row>
    <row r="29" spans="8:27">
      <c r="H29" s="198"/>
    </row>
    <row r="31" spans="8:27">
      <c r="H31" s="216" t="s">
        <v>419</v>
      </c>
    </row>
    <row r="33" spans="8:27" ht="26.25" customHeight="1">
      <c r="H33" s="352" t="s">
        <v>372</v>
      </c>
      <c r="I33" s="352"/>
      <c r="J33" s="352"/>
      <c r="K33" s="352"/>
      <c r="L33" s="352"/>
      <c r="M33" s="352"/>
      <c r="N33" s="352"/>
      <c r="O33" s="352"/>
      <c r="P33" s="352"/>
      <c r="Q33" s="352"/>
      <c r="R33" s="352"/>
      <c r="S33" s="352"/>
      <c r="T33" s="352"/>
      <c r="U33" s="352"/>
      <c r="V33" s="352"/>
      <c r="W33" s="352"/>
      <c r="X33" s="352"/>
      <c r="Y33" s="352"/>
      <c r="Z33" s="352"/>
      <c r="AA33" s="352"/>
    </row>
    <row r="35" spans="8:27">
      <c r="H35" s="352" t="s">
        <v>373</v>
      </c>
      <c r="I35" s="352"/>
      <c r="J35" s="352"/>
      <c r="K35" s="352"/>
      <c r="L35" s="352"/>
      <c r="M35" s="352"/>
      <c r="N35" s="352"/>
      <c r="O35" s="352"/>
      <c r="P35" s="352"/>
      <c r="Q35" s="352"/>
      <c r="R35" s="352"/>
      <c r="S35" s="352"/>
      <c r="T35" s="352"/>
      <c r="U35" s="352"/>
      <c r="V35" s="352"/>
      <c r="W35" s="352"/>
      <c r="X35" s="352"/>
      <c r="Y35" s="352"/>
      <c r="Z35" s="352"/>
      <c r="AA35" s="352"/>
    </row>
    <row r="37" spans="8:27">
      <c r="H37" s="352" t="s">
        <v>374</v>
      </c>
      <c r="I37" s="352"/>
      <c r="J37" s="352"/>
      <c r="K37" s="352"/>
      <c r="L37" s="352"/>
      <c r="M37" s="352"/>
      <c r="N37" s="352"/>
      <c r="O37" s="352"/>
      <c r="P37" s="352"/>
      <c r="Q37" s="352"/>
      <c r="R37" s="352"/>
      <c r="S37" s="352"/>
      <c r="T37" s="352"/>
      <c r="U37" s="352"/>
      <c r="V37" s="352"/>
      <c r="W37" s="352"/>
      <c r="X37" s="352"/>
      <c r="Y37" s="352"/>
      <c r="Z37" s="352"/>
      <c r="AA37" s="352"/>
    </row>
    <row r="39" spans="8:27">
      <c r="K39" s="200" t="s">
        <v>382</v>
      </c>
      <c r="L39" s="200" t="s">
        <v>383</v>
      </c>
      <c r="M39" s="200" t="s">
        <v>384</v>
      </c>
      <c r="N39" s="200" t="s">
        <v>385</v>
      </c>
      <c r="O39" s="200" t="s">
        <v>386</v>
      </c>
      <c r="P39" s="200" t="s">
        <v>387</v>
      </c>
    </row>
    <row r="40" spans="8:27">
      <c r="K40" s="200">
        <v>-7.8595178299999997</v>
      </c>
      <c r="L40" s="200">
        <v>1.84408259</v>
      </c>
      <c r="M40" s="200">
        <v>-11.7866497</v>
      </c>
      <c r="N40" s="200">
        <v>22.680741099999999</v>
      </c>
      <c r="O40" s="200">
        <v>-15.9618719</v>
      </c>
      <c r="P40" s="200">
        <v>1.80122502</v>
      </c>
    </row>
    <row r="41" spans="8:27">
      <c r="K41" s="200" t="s">
        <v>376</v>
      </c>
      <c r="L41" s="200" t="s">
        <v>388</v>
      </c>
      <c r="M41" s="200" t="s">
        <v>389</v>
      </c>
      <c r="N41" s="200" t="s">
        <v>390</v>
      </c>
      <c r="O41" s="200" t="s">
        <v>391</v>
      </c>
      <c r="P41" s="200" t="s">
        <v>392</v>
      </c>
    </row>
    <row r="42" spans="8:27">
      <c r="H42" s="200" t="s">
        <v>376</v>
      </c>
      <c r="I42" s="200">
        <f>1-(E10/647.096)</f>
        <v>0.51453336364539648</v>
      </c>
      <c r="K42" s="200">
        <f>I42</f>
        <v>0.51453336364539648</v>
      </c>
      <c r="L42" s="200">
        <f>I42^1.5</f>
        <v>0.36907982935931233</v>
      </c>
      <c r="M42" s="200">
        <f>I42^3</f>
        <v>0.13621992043989911</v>
      </c>
      <c r="N42" s="200">
        <f>I42^3.5</f>
        <v>9.7711885260653483E-2</v>
      </c>
      <c r="O42" s="200">
        <f>I42^4</f>
        <v>7.0089693859449576E-2</v>
      </c>
      <c r="P42" s="200">
        <f>I42^7.5</f>
        <v>6.8485961243488673E-3</v>
      </c>
    </row>
    <row r="43" spans="8:27">
      <c r="H43" s="200" t="s">
        <v>381</v>
      </c>
      <c r="I43" s="200">
        <f>647.096/E10</f>
        <v>2.0598737896986221</v>
      </c>
      <c r="K43" s="200" t="s">
        <v>399</v>
      </c>
      <c r="L43" s="200" t="s">
        <v>400</v>
      </c>
      <c r="M43" s="200" t="s">
        <v>401</v>
      </c>
      <c r="N43" s="200" t="s">
        <v>402</v>
      </c>
      <c r="O43" s="200" t="s">
        <v>403</v>
      </c>
      <c r="P43" s="200" t="s">
        <v>404</v>
      </c>
      <c r="Q43" s="200" t="s">
        <v>393</v>
      </c>
      <c r="R43" s="200" t="s">
        <v>394</v>
      </c>
      <c r="S43" s="200" t="s">
        <v>395</v>
      </c>
      <c r="T43" s="261" t="s">
        <v>396</v>
      </c>
    </row>
    <row r="44" spans="8:27">
      <c r="H44" s="200" t="s">
        <v>397</v>
      </c>
      <c r="I44" s="200">
        <f>22.064</f>
        <v>22.064</v>
      </c>
      <c r="J44" s="157" t="s">
        <v>398</v>
      </c>
      <c r="K44" s="200">
        <f>K40*K42</f>
        <v>-4.0439841457008674</v>
      </c>
      <c r="L44" s="200">
        <f t="shared" ref="L44:P44" si="0">L40*L42</f>
        <v>0.68061368764167873</v>
      </c>
      <c r="M44" s="200">
        <f t="shared" si="0"/>
        <v>-1.6055764843869607</v>
      </c>
      <c r="N44" s="200">
        <f t="shared" si="0"/>
        <v>2.2161779719897874</v>
      </c>
      <c r="O44" s="200">
        <f t="shared" si="0"/>
        <v>-1.1187627148947508</v>
      </c>
      <c r="P44" s="200">
        <f t="shared" si="0"/>
        <v>1.2335862691052212E-2</v>
      </c>
      <c r="Q44" s="200">
        <f>K44+L44+M44+N44+O44+P44</f>
        <v>-3.8591958226600607</v>
      </c>
      <c r="R44" s="200">
        <f>Q44*I43</f>
        <v>-7.9494563244118712</v>
      </c>
      <c r="S44" s="154">
        <f>EXP(R44)</f>
        <v>3.5285395056796357E-4</v>
      </c>
      <c r="T44" s="262">
        <f>S44*I44</f>
        <v>7.7853695653315484E-3</v>
      </c>
      <c r="U44" s="157" t="s">
        <v>398</v>
      </c>
    </row>
    <row r="45" spans="8:27">
      <c r="H45" s="200" t="s">
        <v>397</v>
      </c>
      <c r="I45" s="200">
        <f>I44*145</f>
        <v>3199.28</v>
      </c>
      <c r="J45" s="157" t="s">
        <v>57</v>
      </c>
      <c r="T45" s="263">
        <f>T44*145</f>
        <v>1.1288785869730744</v>
      </c>
      <c r="U45" s="157" t="s">
        <v>57</v>
      </c>
    </row>
    <row r="48" spans="8:27" ht="24" customHeight="1">
      <c r="H48" s="352" t="s">
        <v>375</v>
      </c>
      <c r="I48" s="352"/>
      <c r="J48" s="352"/>
      <c r="K48" s="352"/>
      <c r="L48" s="352"/>
      <c r="M48" s="352"/>
      <c r="N48" s="352"/>
      <c r="O48" s="352"/>
      <c r="P48" s="352"/>
      <c r="Q48" s="352"/>
      <c r="R48" s="352"/>
      <c r="S48" s="352"/>
      <c r="T48" s="352"/>
      <c r="U48" s="352"/>
      <c r="V48" s="352"/>
      <c r="W48" s="352"/>
      <c r="X48" s="352"/>
      <c r="Y48" s="352"/>
      <c r="Z48" s="352"/>
      <c r="AA48" s="352"/>
    </row>
    <row r="49" spans="8:20">
      <c r="H49" s="198"/>
    </row>
    <row r="50" spans="8:20">
      <c r="H50" s="198"/>
    </row>
    <row r="51" spans="8:20">
      <c r="H51" s="197"/>
    </row>
    <row r="52" spans="8:20">
      <c r="H52" s="197"/>
    </row>
    <row r="53" spans="8:20">
      <c r="H53" s="197"/>
    </row>
    <row r="57" spans="8:20">
      <c r="H57" s="266" t="s">
        <v>501</v>
      </c>
      <c r="I57" s="266">
        <f>47430*T45/E5</f>
        <v>535.42711380132914</v>
      </c>
      <c r="J57" s="266" t="s">
        <v>502</v>
      </c>
    </row>
    <row r="60" spans="8:20" ht="18.75">
      <c r="H60" s="260" t="s">
        <v>421</v>
      </c>
    </row>
    <row r="62" spans="8:20">
      <c r="H62" t="s">
        <v>422</v>
      </c>
    </row>
    <row r="64" spans="8:20">
      <c r="H64" t="s">
        <v>430</v>
      </c>
      <c r="T64" s="199" t="s">
        <v>432</v>
      </c>
    </row>
    <row r="66" spans="8:20">
      <c r="H66" t="s">
        <v>429</v>
      </c>
      <c r="L66" t="s">
        <v>428</v>
      </c>
      <c r="O66" t="s">
        <v>443</v>
      </c>
      <c r="T66" t="s">
        <v>431</v>
      </c>
    </row>
    <row r="68" spans="8:20">
      <c r="H68" t="s">
        <v>424</v>
      </c>
    </row>
    <row r="70" spans="8:20">
      <c r="H70" s="148" t="s">
        <v>433</v>
      </c>
      <c r="I70" s="148" t="s">
        <v>434</v>
      </c>
      <c r="J70" s="148" t="s">
        <v>435</v>
      </c>
      <c r="K70" s="148" t="s">
        <v>436</v>
      </c>
      <c r="L70" s="148" t="s">
        <v>437</v>
      </c>
      <c r="M70" s="148" t="s">
        <v>438</v>
      </c>
      <c r="N70" s="148" t="s">
        <v>439</v>
      </c>
      <c r="O70" s="148" t="s">
        <v>440</v>
      </c>
    </row>
    <row r="71" spans="8:20">
      <c r="H71" s="148" t="s">
        <v>441</v>
      </c>
      <c r="I71" s="148" t="s">
        <v>441</v>
      </c>
      <c r="J71" s="148" t="s">
        <v>12</v>
      </c>
      <c r="K71" s="148" t="s">
        <v>442</v>
      </c>
      <c r="L71" s="148"/>
      <c r="M71" s="148"/>
      <c r="N71" s="148" t="s">
        <v>442</v>
      </c>
      <c r="O71" s="148"/>
    </row>
    <row r="72" spans="8:20">
      <c r="H72" s="148">
        <v>-40</v>
      </c>
      <c r="I72" s="148">
        <v>32</v>
      </c>
      <c r="J72" s="148">
        <v>163</v>
      </c>
      <c r="K72" s="148">
        <v>210</v>
      </c>
      <c r="L72" s="148">
        <v>67</v>
      </c>
      <c r="M72" s="148">
        <v>0.5464</v>
      </c>
      <c r="N72" s="148">
        <v>211</v>
      </c>
      <c r="O72" s="148">
        <v>79</v>
      </c>
    </row>
    <row r="73" spans="8:20">
      <c r="H73" s="148">
        <v>32</v>
      </c>
      <c r="I73" s="148">
        <v>95</v>
      </c>
      <c r="J73" s="148">
        <v>1011</v>
      </c>
      <c r="K73" s="148">
        <v>303</v>
      </c>
      <c r="L73" s="148">
        <v>83</v>
      </c>
      <c r="M73" s="148">
        <v>2.3921999999999999</v>
      </c>
      <c r="N73" s="148">
        <v>308</v>
      </c>
      <c r="O73" s="148">
        <v>97</v>
      </c>
    </row>
    <row r="74" spans="8:20">
      <c r="H74" s="148">
        <v>95</v>
      </c>
      <c r="I74" s="148">
        <v>158</v>
      </c>
      <c r="J74" s="148">
        <v>8012</v>
      </c>
      <c r="K74" s="148">
        <v>444</v>
      </c>
      <c r="L74" s="148">
        <v>108</v>
      </c>
      <c r="M74" s="148">
        <v>5.1482999999999999</v>
      </c>
      <c r="N74" s="148">
        <v>367</v>
      </c>
      <c r="O74" s="148">
        <v>108</v>
      </c>
    </row>
    <row r="75" spans="8:20">
      <c r="H75" s="148">
        <v>158</v>
      </c>
      <c r="I75" s="148">
        <v>212</v>
      </c>
      <c r="J75" s="148">
        <v>8101</v>
      </c>
      <c r="K75" s="148">
        <v>450</v>
      </c>
      <c r="L75" s="148">
        <v>110</v>
      </c>
      <c r="M75" s="148">
        <v>1.5610999999999999</v>
      </c>
      <c r="N75" s="148">
        <v>227</v>
      </c>
      <c r="O75" s="148">
        <v>59.4</v>
      </c>
    </row>
    <row r="76" spans="8:20">
      <c r="H76" s="148">
        <v>41</v>
      </c>
      <c r="I76" s="148">
        <v>149</v>
      </c>
      <c r="J76" s="148">
        <v>3698</v>
      </c>
      <c r="K76" s="148">
        <v>386</v>
      </c>
      <c r="L76" s="148">
        <v>98</v>
      </c>
      <c r="M76" s="148">
        <v>5.6269</v>
      </c>
      <c r="N76" s="148">
        <v>376</v>
      </c>
      <c r="O76" s="148">
        <v>110</v>
      </c>
    </row>
    <row r="78" spans="8:20">
      <c r="H78" t="s">
        <v>423</v>
      </c>
    </row>
    <row r="80" spans="8:20">
      <c r="H80" t="s">
        <v>425</v>
      </c>
    </row>
    <row r="81" spans="8:19">
      <c r="H81" t="s">
        <v>427</v>
      </c>
    </row>
    <row r="84" spans="8:19">
      <c r="H84" t="s">
        <v>371</v>
      </c>
    </row>
    <row r="87" spans="8:19">
      <c r="H87" t="s">
        <v>426</v>
      </c>
    </row>
    <row r="89" spans="8:19">
      <c r="H89" s="148" t="s">
        <v>433</v>
      </c>
      <c r="I89" s="148" t="s">
        <v>434</v>
      </c>
      <c r="J89" s="148" t="s">
        <v>444</v>
      </c>
      <c r="K89" s="148" t="s">
        <v>445</v>
      </c>
      <c r="L89" s="148" t="s">
        <v>446</v>
      </c>
      <c r="M89" s="148" t="s">
        <v>447</v>
      </c>
      <c r="N89" s="148" t="s">
        <v>448</v>
      </c>
      <c r="O89" s="148" t="s">
        <v>449</v>
      </c>
      <c r="P89" s="148" t="s">
        <v>450</v>
      </c>
      <c r="Q89" s="148" t="s">
        <v>451</v>
      </c>
      <c r="R89" s="148" t="s">
        <v>452</v>
      </c>
      <c r="S89" s="148" t="s">
        <v>453</v>
      </c>
    </row>
    <row r="90" spans="8:19">
      <c r="H90" s="148" t="s">
        <v>441</v>
      </c>
      <c r="I90" s="148" t="s">
        <v>441</v>
      </c>
      <c r="J90" s="148"/>
      <c r="L90" s="148" t="s">
        <v>442</v>
      </c>
      <c r="M90" s="148"/>
      <c r="O90" s="148"/>
      <c r="P90" s="148"/>
      <c r="Q90" s="148" t="s">
        <v>442</v>
      </c>
      <c r="R90" s="148"/>
      <c r="S90" s="148"/>
    </row>
    <row r="91" spans="8:19">
      <c r="H91" s="148">
        <v>-40</v>
      </c>
      <c r="I91" s="148">
        <v>32</v>
      </c>
      <c r="J91" s="213">
        <v>1.1611100000000001</v>
      </c>
      <c r="K91" s="213">
        <v>5.4149999999999997E-2</v>
      </c>
      <c r="L91" s="213">
        <v>1.15E-3</v>
      </c>
      <c r="M91" s="218">
        <v>1.4800000000000001E-5</v>
      </c>
      <c r="N91" s="218">
        <v>1.01E-7</v>
      </c>
      <c r="O91" s="213">
        <v>1.524E-2</v>
      </c>
      <c r="P91" s="213">
        <v>5.1000000000000004E-4</v>
      </c>
      <c r="Q91" s="219">
        <v>7.9400000000000002E-6</v>
      </c>
      <c r="R91" s="218">
        <v>6.2200000000000001E-8</v>
      </c>
      <c r="S91" s="218">
        <v>0</v>
      </c>
    </row>
    <row r="92" spans="8:19">
      <c r="H92" s="148">
        <v>32</v>
      </c>
      <c r="I92" s="148">
        <v>95</v>
      </c>
      <c r="J92" s="213">
        <v>5.28</v>
      </c>
      <c r="K92" s="213">
        <v>-0.27517000000000003</v>
      </c>
      <c r="L92" s="213">
        <v>1.0699999999999999E-2</v>
      </c>
      <c r="M92" s="218">
        <v>-1.07E-4</v>
      </c>
      <c r="N92" s="218">
        <v>7.2099999999999996E-7</v>
      </c>
      <c r="O92" s="213">
        <v>1.39E-3</v>
      </c>
      <c r="P92" s="213">
        <v>1.3699999999999999E-3</v>
      </c>
      <c r="Q92" s="218">
        <v>-1.0200000000000001E-5</v>
      </c>
      <c r="R92" s="218">
        <v>2.05E-7</v>
      </c>
      <c r="S92" s="218">
        <v>0</v>
      </c>
    </row>
    <row r="93" spans="8:19">
      <c r="H93" s="148">
        <v>95</v>
      </c>
      <c r="I93" s="148">
        <v>158</v>
      </c>
      <c r="J93" s="213">
        <v>-191.0968</v>
      </c>
      <c r="K93" s="213">
        <v>5.7596299999999996</v>
      </c>
      <c r="L93" s="213">
        <v>-5.8099999999999999E-2</v>
      </c>
      <c r="M93" s="218">
        <v>2.4600000000000002E-4</v>
      </c>
      <c r="N93" s="218">
        <v>0</v>
      </c>
      <c r="O93" s="213">
        <v>-0.39489999999999997</v>
      </c>
      <c r="P93" s="213">
        <v>1.141E-2</v>
      </c>
      <c r="Q93" s="218">
        <v>-9.5199999999999997E-5</v>
      </c>
      <c r="R93" s="218">
        <v>4.46E-7</v>
      </c>
      <c r="S93" s="218">
        <v>0</v>
      </c>
    </row>
    <row r="94" spans="8:19">
      <c r="H94" s="148">
        <v>158</v>
      </c>
      <c r="I94" s="148">
        <v>212</v>
      </c>
      <c r="J94" s="213">
        <v>-857</v>
      </c>
      <c r="K94" s="213">
        <v>17.8355</v>
      </c>
      <c r="L94" s="213">
        <v>-0.13117000000000001</v>
      </c>
      <c r="M94" s="218">
        <v>3.9300000000000001E-4</v>
      </c>
      <c r="N94" s="218">
        <v>0</v>
      </c>
      <c r="O94" s="213">
        <v>163.125</v>
      </c>
      <c r="P94" s="213">
        <v>-3.6191</v>
      </c>
      <c r="Q94" s="218">
        <v>2.989E-2</v>
      </c>
      <c r="R94" s="218">
        <v>-1.1E-4</v>
      </c>
      <c r="S94" s="218">
        <v>1.4700000000000001E-7</v>
      </c>
    </row>
    <row r="95" spans="8:19">
      <c r="H95" s="148">
        <v>41</v>
      </c>
      <c r="I95" s="148">
        <v>149</v>
      </c>
      <c r="J95" s="213">
        <v>13.33</v>
      </c>
      <c r="K95" s="213">
        <v>-0.60470999999999997</v>
      </c>
      <c r="L95" s="213">
        <v>1.545E-2</v>
      </c>
      <c r="M95" s="218">
        <v>-1.26E-4</v>
      </c>
      <c r="N95" s="218">
        <v>6.9800000000000003E-7</v>
      </c>
      <c r="O95" s="213">
        <v>-1.12E-2</v>
      </c>
      <c r="P95" s="213">
        <v>1.92E-3</v>
      </c>
      <c r="Q95" s="218">
        <v>-1.7799999999999999E-5</v>
      </c>
      <c r="R95" s="218">
        <v>2.3799999999999999E-7</v>
      </c>
      <c r="S95" s="218">
        <v>0</v>
      </c>
    </row>
    <row r="98" spans="8:19">
      <c r="I98" s="148" t="s">
        <v>287</v>
      </c>
      <c r="J98" s="148" t="s">
        <v>444</v>
      </c>
      <c r="K98" s="148" t="s">
        <v>445</v>
      </c>
      <c r="L98" s="148" t="s">
        <v>446</v>
      </c>
      <c r="M98" s="148" t="s">
        <v>447</v>
      </c>
      <c r="N98" s="148" t="s">
        <v>448</v>
      </c>
      <c r="O98" s="148" t="s">
        <v>449</v>
      </c>
      <c r="P98" s="148" t="s">
        <v>450</v>
      </c>
      <c r="Q98" s="148" t="s">
        <v>451</v>
      </c>
      <c r="R98" s="148" t="s">
        <v>452</v>
      </c>
      <c r="S98" s="148" t="s">
        <v>453</v>
      </c>
    </row>
    <row r="99" spans="8:19">
      <c r="I99" s="220">
        <f>E7</f>
        <v>105.45833333333333</v>
      </c>
      <c r="J99" s="148">
        <f t="shared" ref="J99:S99" si="1">IF($E$7&lt;95,J92,J93)</f>
        <v>-191.0968</v>
      </c>
      <c r="K99" s="148">
        <f t="shared" si="1"/>
        <v>5.7596299999999996</v>
      </c>
      <c r="L99" s="148">
        <f t="shared" si="1"/>
        <v>-5.8099999999999999E-2</v>
      </c>
      <c r="M99" s="148">
        <f t="shared" si="1"/>
        <v>2.4600000000000002E-4</v>
      </c>
      <c r="N99" s="148">
        <f t="shared" si="1"/>
        <v>0</v>
      </c>
      <c r="O99" s="148">
        <f t="shared" si="1"/>
        <v>-0.39489999999999997</v>
      </c>
      <c r="P99" s="148">
        <f t="shared" si="1"/>
        <v>1.141E-2</v>
      </c>
      <c r="Q99" s="148">
        <f t="shared" si="1"/>
        <v>-9.5199999999999997E-5</v>
      </c>
      <c r="R99" s="148">
        <f t="shared" si="1"/>
        <v>4.46E-7</v>
      </c>
      <c r="S99" s="148">
        <f t="shared" si="1"/>
        <v>0</v>
      </c>
    </row>
    <row r="100" spans="8:19">
      <c r="I100" s="148" t="s">
        <v>112</v>
      </c>
      <c r="J100" s="148">
        <f>J99+K99*$I$99+L99*$I$99^2+M99*$I$99^3+N99*$I$99^4</f>
        <v>58.668608598524258</v>
      </c>
    </row>
    <row r="101" spans="8:19">
      <c r="I101" s="148" t="s">
        <v>113</v>
      </c>
      <c r="J101" s="148">
        <f>O99+P99*$I$99+Q99*$I$99^2+R99*$I$99^3+S99*$I$99^4</f>
        <v>0.2727079715701678</v>
      </c>
    </row>
    <row r="103" spans="8:19">
      <c r="H103" s="266" t="s">
        <v>493</v>
      </c>
      <c r="I103" s="266"/>
      <c r="J103" s="266"/>
      <c r="K103" s="266">
        <f>((J100/(E5/14.7))+H938)*108</f>
        <v>931.42283011017105</v>
      </c>
    </row>
  </sheetData>
  <mergeCells count="5">
    <mergeCell ref="H23:AA23"/>
    <mergeCell ref="H33:AA33"/>
    <mergeCell ref="H35:AA35"/>
    <mergeCell ref="H37:AA37"/>
    <mergeCell ref="H48:AA4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4E0FD-E492-45B2-8166-1582645E973F}">
  <sheetPr codeName="Sheet21">
    <tabColor theme="7" tint="0.79998168889431442"/>
  </sheetPr>
  <dimension ref="B1:AA103"/>
  <sheetViews>
    <sheetView workbookViewId="0"/>
  </sheetViews>
  <sheetFormatPr defaultRowHeight="15"/>
  <cols>
    <col min="1" max="1" width="3.42578125" customWidth="1"/>
    <col min="2" max="2" width="9.28515625" customWidth="1"/>
    <col min="7" max="7" width="8.7109375" customWidth="1"/>
    <col min="8" max="8" width="15.28515625" customWidth="1"/>
    <col min="9" max="12" width="12" bestFit="1" customWidth="1"/>
    <col min="13" max="19" width="10.7109375" customWidth="1"/>
    <col min="21" max="22" width="12" bestFit="1" customWidth="1"/>
    <col min="23" max="24" width="12.28515625" bestFit="1" customWidth="1"/>
    <col min="25" max="25" width="12.5703125" bestFit="1" customWidth="1"/>
    <col min="26" max="26" width="12.28515625" bestFit="1" customWidth="1"/>
    <col min="27" max="27" width="12.5703125" bestFit="1" customWidth="1"/>
    <col min="28" max="28" width="12" bestFit="1" customWidth="1"/>
    <col min="29" max="32" width="12.28515625" bestFit="1" customWidth="1"/>
  </cols>
  <sheetData>
    <row r="1" spans="2:15" ht="18.75">
      <c r="B1" s="268" t="s">
        <v>603</v>
      </c>
    </row>
    <row r="2" spans="2:15">
      <c r="B2" s="269" t="s">
        <v>604</v>
      </c>
    </row>
    <row r="4" spans="2:15" ht="15.75" thickBot="1">
      <c r="B4" s="195" t="s">
        <v>270</v>
      </c>
    </row>
    <row r="5" spans="2:15" ht="19.5" thickBot="1">
      <c r="B5" s="270"/>
      <c r="C5" s="118"/>
      <c r="D5" s="118" t="s">
        <v>417</v>
      </c>
      <c r="E5" s="275">
        <f>Drawing!L34</f>
        <v>74.792607188727231</v>
      </c>
      <c r="F5" s="276"/>
      <c r="H5" s="43"/>
      <c r="I5" s="284" t="s">
        <v>610</v>
      </c>
      <c r="J5" s="43"/>
      <c r="K5" s="43"/>
      <c r="L5" s="43"/>
      <c r="M5" s="43"/>
      <c r="N5" s="43"/>
      <c r="O5" s="43"/>
    </row>
    <row r="6" spans="2:15" ht="18.75">
      <c r="B6" s="271"/>
      <c r="D6" t="s">
        <v>416</v>
      </c>
      <c r="E6">
        <f>E5-14.7</f>
        <v>60.092607188727229</v>
      </c>
      <c r="F6" s="110"/>
      <c r="H6" s="260" t="s">
        <v>500</v>
      </c>
    </row>
    <row r="7" spans="2:15">
      <c r="B7" s="271"/>
      <c r="D7" t="s">
        <v>415</v>
      </c>
      <c r="E7" s="272">
        <f>Drawing!L35</f>
        <v>93.458333333333329</v>
      </c>
      <c r="F7" s="277"/>
    </row>
    <row r="8" spans="2:15">
      <c r="B8" s="271"/>
      <c r="D8" t="s">
        <v>380</v>
      </c>
      <c r="E8" s="131">
        <f>E7+460</f>
        <v>553.45833333333337</v>
      </c>
      <c r="F8" s="278"/>
    </row>
    <row r="9" spans="2:15">
      <c r="B9" s="271"/>
      <c r="D9" s="199" t="s">
        <v>377</v>
      </c>
      <c r="E9" s="212">
        <f>E10-273</f>
        <v>34.476851851851904</v>
      </c>
      <c r="F9" s="279"/>
    </row>
    <row r="10" spans="2:15">
      <c r="B10" s="271"/>
      <c r="D10" t="s">
        <v>379</v>
      </c>
      <c r="E10" s="212">
        <f>E8*5/9</f>
        <v>307.4768518518519</v>
      </c>
      <c r="F10" s="279"/>
    </row>
    <row r="11" spans="2:15">
      <c r="B11" s="271"/>
      <c r="F11" s="110"/>
    </row>
    <row r="12" spans="2:15">
      <c r="B12" s="271"/>
      <c r="C12" t="s">
        <v>606</v>
      </c>
      <c r="E12" s="32" t="s">
        <v>605</v>
      </c>
      <c r="F12" s="280"/>
    </row>
    <row r="13" spans="2:15">
      <c r="B13" s="271"/>
      <c r="F13" s="110"/>
    </row>
    <row r="14" spans="2:15">
      <c r="B14" s="271" t="s">
        <v>609</v>
      </c>
      <c r="E14" s="273">
        <f>I57</f>
        <v>498.64142514591907</v>
      </c>
      <c r="F14" s="281"/>
      <c r="H14" t="s">
        <v>413</v>
      </c>
    </row>
    <row r="15" spans="2:15">
      <c r="B15" s="271" t="s">
        <v>607</v>
      </c>
      <c r="E15" s="273">
        <f>I20</f>
        <v>511.807998093631</v>
      </c>
      <c r="F15" s="281"/>
    </row>
    <row r="16" spans="2:15" ht="15.75" thickBot="1">
      <c r="B16" s="274" t="s">
        <v>608</v>
      </c>
      <c r="C16" s="43"/>
      <c r="D16" s="43"/>
      <c r="E16" s="282">
        <f>K103</f>
        <v>863.55488412687805</v>
      </c>
      <c r="F16" s="283"/>
      <c r="H16" t="s">
        <v>113</v>
      </c>
      <c r="I16" s="212">
        <f>10^(6.69449-3083.7/(O28+459.67))</f>
        <v>13.166572947711975</v>
      </c>
    </row>
    <row r="17" spans="8:27">
      <c r="I17" s="212"/>
    </row>
    <row r="18" spans="8:27">
      <c r="H18" t="s">
        <v>418</v>
      </c>
      <c r="I18" s="149">
        <f>T45/E5</f>
        <v>1.0513207361288615E-2</v>
      </c>
    </row>
    <row r="19" spans="8:27">
      <c r="I19" s="149"/>
    </row>
    <row r="20" spans="8:27">
      <c r="H20" s="266" t="s">
        <v>414</v>
      </c>
      <c r="I20" s="267">
        <f>I18*47430+I16</f>
        <v>511.807998093631</v>
      </c>
      <c r="K20">
        <f>I20/47430</f>
        <v>1.0790807465604702E-2</v>
      </c>
    </row>
    <row r="22" spans="8:27" ht="18.75">
      <c r="H22" s="260" t="s">
        <v>499</v>
      </c>
    </row>
    <row r="23" spans="8:27" ht="38.25" customHeight="1">
      <c r="H23" s="352" t="s">
        <v>370</v>
      </c>
      <c r="I23" s="352"/>
      <c r="J23" s="352"/>
      <c r="K23" s="352"/>
      <c r="L23" s="352"/>
      <c r="M23" s="352"/>
      <c r="N23" s="352"/>
      <c r="O23" s="352"/>
      <c r="P23" s="352"/>
      <c r="Q23" s="352"/>
      <c r="R23" s="352"/>
      <c r="S23" s="352"/>
      <c r="T23" s="352"/>
      <c r="U23" s="352"/>
      <c r="V23" s="352"/>
      <c r="W23" s="352"/>
      <c r="X23" s="352"/>
      <c r="Y23" s="352"/>
      <c r="Z23" s="352"/>
      <c r="AA23" s="352"/>
    </row>
    <row r="24" spans="8:27">
      <c r="H24" s="198"/>
    </row>
    <row r="25" spans="8:27">
      <c r="H25" s="198"/>
    </row>
    <row r="27" spans="8:27">
      <c r="H27" s="198" t="s">
        <v>371</v>
      </c>
    </row>
    <row r="28" spans="8:27">
      <c r="H28" s="198"/>
      <c r="N28" t="s">
        <v>378</v>
      </c>
      <c r="O28" s="215">
        <f>E7</f>
        <v>93.458333333333329</v>
      </c>
    </row>
    <row r="29" spans="8:27">
      <c r="H29" s="198"/>
    </row>
    <row r="31" spans="8:27">
      <c r="H31" s="216" t="s">
        <v>419</v>
      </c>
    </row>
    <row r="33" spans="8:27" ht="26.25" customHeight="1">
      <c r="H33" s="352" t="s">
        <v>372</v>
      </c>
      <c r="I33" s="352"/>
      <c r="J33" s="352"/>
      <c r="K33" s="352"/>
      <c r="L33" s="352"/>
      <c r="M33" s="352"/>
      <c r="N33" s="352"/>
      <c r="O33" s="352"/>
      <c r="P33" s="352"/>
      <c r="Q33" s="352"/>
      <c r="R33" s="352"/>
      <c r="S33" s="352"/>
      <c r="T33" s="352"/>
      <c r="U33" s="352"/>
      <c r="V33" s="352"/>
      <c r="W33" s="352"/>
      <c r="X33" s="352"/>
      <c r="Y33" s="352"/>
      <c r="Z33" s="352"/>
      <c r="AA33" s="352"/>
    </row>
    <row r="35" spans="8:27">
      <c r="H35" s="352" t="s">
        <v>373</v>
      </c>
      <c r="I35" s="352"/>
      <c r="J35" s="352"/>
      <c r="K35" s="352"/>
      <c r="L35" s="352"/>
      <c r="M35" s="352"/>
      <c r="N35" s="352"/>
      <c r="O35" s="352"/>
      <c r="P35" s="352"/>
      <c r="Q35" s="352"/>
      <c r="R35" s="352"/>
      <c r="S35" s="352"/>
      <c r="T35" s="352"/>
      <c r="U35" s="352"/>
      <c r="V35" s="352"/>
      <c r="W35" s="352"/>
      <c r="X35" s="352"/>
      <c r="Y35" s="352"/>
      <c r="Z35" s="352"/>
      <c r="AA35" s="352"/>
    </row>
    <row r="37" spans="8:27">
      <c r="H37" s="352" t="s">
        <v>374</v>
      </c>
      <c r="I37" s="352"/>
      <c r="J37" s="352"/>
      <c r="K37" s="352"/>
      <c r="L37" s="352"/>
      <c r="M37" s="352"/>
      <c r="N37" s="352"/>
      <c r="O37" s="352"/>
      <c r="P37" s="352"/>
      <c r="Q37" s="352"/>
      <c r="R37" s="352"/>
      <c r="S37" s="352"/>
      <c r="T37" s="352"/>
      <c r="U37" s="352"/>
      <c r="V37" s="352"/>
      <c r="W37" s="352"/>
      <c r="X37" s="352"/>
      <c r="Y37" s="352"/>
      <c r="Z37" s="352"/>
      <c r="AA37" s="352"/>
    </row>
    <row r="39" spans="8:27">
      <c r="K39" s="200" t="s">
        <v>382</v>
      </c>
      <c r="L39" s="200" t="s">
        <v>383</v>
      </c>
      <c r="M39" s="200" t="s">
        <v>384</v>
      </c>
      <c r="N39" s="200" t="s">
        <v>385</v>
      </c>
      <c r="O39" s="200" t="s">
        <v>386</v>
      </c>
      <c r="P39" s="200" t="s">
        <v>387</v>
      </c>
    </row>
    <row r="40" spans="8:27">
      <c r="K40" s="200">
        <v>-7.8595178299999997</v>
      </c>
      <c r="L40" s="200">
        <v>1.84408259</v>
      </c>
      <c r="M40" s="200">
        <v>-11.7866497</v>
      </c>
      <c r="N40" s="200">
        <v>22.680741099999999</v>
      </c>
      <c r="O40" s="200">
        <v>-15.9618719</v>
      </c>
      <c r="P40" s="200">
        <v>1.80122502</v>
      </c>
    </row>
    <row r="41" spans="8:27">
      <c r="K41" s="200" t="s">
        <v>376</v>
      </c>
      <c r="L41" s="200" t="s">
        <v>388</v>
      </c>
      <c r="M41" s="200" t="s">
        <v>389</v>
      </c>
      <c r="N41" s="200" t="s">
        <v>390</v>
      </c>
      <c r="O41" s="200" t="s">
        <v>391</v>
      </c>
      <c r="P41" s="200" t="s">
        <v>392</v>
      </c>
    </row>
    <row r="42" spans="8:27">
      <c r="H42" s="200" t="s">
        <v>376</v>
      </c>
      <c r="I42" s="200">
        <f>1-(E10/647.096)</f>
        <v>0.52483580202651248</v>
      </c>
      <c r="K42" s="200">
        <f>I42</f>
        <v>0.52483580202651248</v>
      </c>
      <c r="L42" s="200">
        <f>I42^1.5</f>
        <v>0.38022019443972249</v>
      </c>
      <c r="M42" s="200">
        <f>I42^3</f>
        <v>0.14456739625978038</v>
      </c>
      <c r="N42" s="200">
        <f>I42^3.5</f>
        <v>0.10473264838887918</v>
      </c>
      <c r="O42" s="200">
        <f>I42^4</f>
        <v>7.5874145362886475E-2</v>
      </c>
      <c r="P42" s="200">
        <f>I42^7.5</f>
        <v>7.9465001880978988E-3</v>
      </c>
    </row>
    <row r="43" spans="8:27">
      <c r="H43" s="200" t="s">
        <v>381</v>
      </c>
      <c r="I43" s="200">
        <f>647.096/E10</f>
        <v>2.1045356621245199</v>
      </c>
      <c r="K43" s="200" t="s">
        <v>399</v>
      </c>
      <c r="L43" s="200" t="s">
        <v>400</v>
      </c>
      <c r="M43" s="200" t="s">
        <v>401</v>
      </c>
      <c r="N43" s="200" t="s">
        <v>402</v>
      </c>
      <c r="O43" s="200" t="s">
        <v>403</v>
      </c>
      <c r="P43" s="200" t="s">
        <v>404</v>
      </c>
      <c r="Q43" s="200" t="s">
        <v>393</v>
      </c>
      <c r="R43" s="200" t="s">
        <v>394</v>
      </c>
      <c r="S43" s="200" t="s">
        <v>395</v>
      </c>
      <c r="T43" s="261" t="s">
        <v>396</v>
      </c>
    </row>
    <row r="44" spans="8:27">
      <c r="H44" s="200" t="s">
        <v>397</v>
      </c>
      <c r="I44" s="200">
        <f>22.064</f>
        <v>22.064</v>
      </c>
      <c r="J44" s="157" t="s">
        <v>398</v>
      </c>
      <c r="K44" s="200">
        <f>K40*K42</f>
        <v>-4.1249563438497248</v>
      </c>
      <c r="L44" s="200">
        <f t="shared" ref="L44:P44" si="0">L40*L42</f>
        <v>0.70115744093270704</v>
      </c>
      <c r="M44" s="200">
        <f t="shared" si="0"/>
        <v>-1.7039652577551214</v>
      </c>
      <c r="N44" s="200">
        <f t="shared" si="0"/>
        <v>2.3754140828255004</v>
      </c>
      <c r="O44" s="200">
        <f t="shared" si="0"/>
        <v>-1.2110933888043729</v>
      </c>
      <c r="P44" s="200">
        <f t="shared" si="0"/>
        <v>1.4313434960236642E-2</v>
      </c>
      <c r="Q44" s="200">
        <f>K44+L44+M44+N44+O44+P44</f>
        <v>-3.9491300316907751</v>
      </c>
      <c r="R44" s="200">
        <f>Q44*I43</f>
        <v>-8.3110849860601714</v>
      </c>
      <c r="S44" s="154">
        <f>EXP(R44)</f>
        <v>2.4577723377337867E-4</v>
      </c>
      <c r="T44" s="262">
        <f>S44*I44</f>
        <v>5.4228288859758268E-3</v>
      </c>
      <c r="U44" s="157" t="s">
        <v>398</v>
      </c>
    </row>
    <row r="45" spans="8:27">
      <c r="H45" s="200" t="s">
        <v>397</v>
      </c>
      <c r="I45" s="200">
        <f>I44*145</f>
        <v>3199.28</v>
      </c>
      <c r="J45" s="157" t="s">
        <v>57</v>
      </c>
      <c r="T45" s="263">
        <f>T44*145</f>
        <v>0.78631018846649492</v>
      </c>
      <c r="U45" s="157" t="s">
        <v>57</v>
      </c>
    </row>
    <row r="48" spans="8:27" ht="24" customHeight="1">
      <c r="H48" s="352" t="s">
        <v>375</v>
      </c>
      <c r="I48" s="352"/>
      <c r="J48" s="352"/>
      <c r="K48" s="352"/>
      <c r="L48" s="352"/>
      <c r="M48" s="352"/>
      <c r="N48" s="352"/>
      <c r="O48" s="352"/>
      <c r="P48" s="352"/>
      <c r="Q48" s="352"/>
      <c r="R48" s="352"/>
      <c r="S48" s="352"/>
      <c r="T48" s="352"/>
      <c r="U48" s="352"/>
      <c r="V48" s="352"/>
      <c r="W48" s="352"/>
      <c r="X48" s="352"/>
      <c r="Y48" s="352"/>
      <c r="Z48" s="352"/>
      <c r="AA48" s="352"/>
    </row>
    <row r="49" spans="8:20">
      <c r="H49" s="198"/>
    </row>
    <row r="50" spans="8:20">
      <c r="H50" s="198"/>
    </row>
    <row r="51" spans="8:20">
      <c r="H51" s="197"/>
    </row>
    <row r="52" spans="8:20">
      <c r="H52" s="197"/>
    </row>
    <row r="53" spans="8:20">
      <c r="H53" s="197"/>
    </row>
    <row r="57" spans="8:20">
      <c r="H57" s="266" t="s">
        <v>501</v>
      </c>
      <c r="I57" s="266">
        <f>47430*T45/E5</f>
        <v>498.64142514591907</v>
      </c>
      <c r="J57" s="266" t="s">
        <v>502</v>
      </c>
    </row>
    <row r="60" spans="8:20" ht="18.75">
      <c r="H60" s="260" t="s">
        <v>421</v>
      </c>
    </row>
    <row r="62" spans="8:20">
      <c r="H62" t="s">
        <v>422</v>
      </c>
    </row>
    <row r="64" spans="8:20">
      <c r="H64" t="s">
        <v>430</v>
      </c>
      <c r="T64" s="199" t="s">
        <v>432</v>
      </c>
    </row>
    <row r="66" spans="8:20">
      <c r="H66" t="s">
        <v>429</v>
      </c>
      <c r="L66" t="s">
        <v>428</v>
      </c>
      <c r="O66" t="s">
        <v>443</v>
      </c>
      <c r="T66" t="s">
        <v>431</v>
      </c>
    </row>
    <row r="68" spans="8:20">
      <c r="H68" t="s">
        <v>424</v>
      </c>
    </row>
    <row r="70" spans="8:20">
      <c r="H70" s="148" t="s">
        <v>433</v>
      </c>
      <c r="I70" s="148" t="s">
        <v>434</v>
      </c>
      <c r="J70" s="148" t="s">
        <v>435</v>
      </c>
      <c r="K70" s="148" t="s">
        <v>436</v>
      </c>
      <c r="L70" s="148" t="s">
        <v>437</v>
      </c>
      <c r="M70" s="148" t="s">
        <v>438</v>
      </c>
      <c r="N70" s="148" t="s">
        <v>439</v>
      </c>
      <c r="O70" s="148" t="s">
        <v>440</v>
      </c>
    </row>
    <row r="71" spans="8:20">
      <c r="H71" s="148" t="s">
        <v>441</v>
      </c>
      <c r="I71" s="148" t="s">
        <v>441</v>
      </c>
      <c r="J71" s="148" t="s">
        <v>12</v>
      </c>
      <c r="K71" s="148" t="s">
        <v>442</v>
      </c>
      <c r="L71" s="148"/>
      <c r="M71" s="148"/>
      <c r="N71" s="148" t="s">
        <v>442</v>
      </c>
      <c r="O71" s="148"/>
    </row>
    <row r="72" spans="8:20">
      <c r="H72" s="148">
        <v>-40</v>
      </c>
      <c r="I72" s="148">
        <v>32</v>
      </c>
      <c r="J72" s="148">
        <v>163</v>
      </c>
      <c r="K72" s="148">
        <v>210</v>
      </c>
      <c r="L72" s="148">
        <v>67</v>
      </c>
      <c r="M72" s="148">
        <v>0.5464</v>
      </c>
      <c r="N72" s="148">
        <v>211</v>
      </c>
      <c r="O72" s="148">
        <v>79</v>
      </c>
    </row>
    <row r="73" spans="8:20">
      <c r="H73" s="148">
        <v>32</v>
      </c>
      <c r="I73" s="148">
        <v>95</v>
      </c>
      <c r="J73" s="148">
        <v>1011</v>
      </c>
      <c r="K73" s="148">
        <v>303</v>
      </c>
      <c r="L73" s="148">
        <v>83</v>
      </c>
      <c r="M73" s="148">
        <v>2.3921999999999999</v>
      </c>
      <c r="N73" s="148">
        <v>308</v>
      </c>
      <c r="O73" s="148">
        <v>97</v>
      </c>
    </row>
    <row r="74" spans="8:20">
      <c r="H74" s="148">
        <v>95</v>
      </c>
      <c r="I74" s="148">
        <v>158</v>
      </c>
      <c r="J74" s="148">
        <v>8012</v>
      </c>
      <c r="K74" s="148">
        <v>444</v>
      </c>
      <c r="L74" s="148">
        <v>108</v>
      </c>
      <c r="M74" s="148">
        <v>5.1482999999999999</v>
      </c>
      <c r="N74" s="148">
        <v>367</v>
      </c>
      <c r="O74" s="148">
        <v>108</v>
      </c>
    </row>
    <row r="75" spans="8:20">
      <c r="H75" s="148">
        <v>158</v>
      </c>
      <c r="I75" s="148">
        <v>212</v>
      </c>
      <c r="J75" s="148">
        <v>8101</v>
      </c>
      <c r="K75" s="148">
        <v>450</v>
      </c>
      <c r="L75" s="148">
        <v>110</v>
      </c>
      <c r="M75" s="148">
        <v>1.5610999999999999</v>
      </c>
      <c r="N75" s="148">
        <v>227</v>
      </c>
      <c r="O75" s="148">
        <v>59.4</v>
      </c>
    </row>
    <row r="76" spans="8:20">
      <c r="H76" s="148">
        <v>41</v>
      </c>
      <c r="I76" s="148">
        <v>149</v>
      </c>
      <c r="J76" s="148">
        <v>3698</v>
      </c>
      <c r="K76" s="148">
        <v>386</v>
      </c>
      <c r="L76" s="148">
        <v>98</v>
      </c>
      <c r="M76" s="148">
        <v>5.6269</v>
      </c>
      <c r="N76" s="148">
        <v>376</v>
      </c>
      <c r="O76" s="148">
        <v>110</v>
      </c>
    </row>
    <row r="78" spans="8:20">
      <c r="H78" t="s">
        <v>423</v>
      </c>
    </row>
    <row r="80" spans="8:20">
      <c r="H80" t="s">
        <v>425</v>
      </c>
    </row>
    <row r="81" spans="8:19">
      <c r="H81" t="s">
        <v>427</v>
      </c>
    </row>
    <row r="84" spans="8:19">
      <c r="H84" t="s">
        <v>371</v>
      </c>
    </row>
    <row r="87" spans="8:19">
      <c r="H87" t="s">
        <v>426</v>
      </c>
    </row>
    <row r="89" spans="8:19">
      <c r="H89" s="148" t="s">
        <v>433</v>
      </c>
      <c r="I89" s="148" t="s">
        <v>434</v>
      </c>
      <c r="J89" s="148" t="s">
        <v>444</v>
      </c>
      <c r="K89" s="148" t="s">
        <v>445</v>
      </c>
      <c r="L89" s="148" t="s">
        <v>446</v>
      </c>
      <c r="M89" s="148" t="s">
        <v>447</v>
      </c>
      <c r="N89" s="148" t="s">
        <v>448</v>
      </c>
      <c r="O89" s="148" t="s">
        <v>449</v>
      </c>
      <c r="P89" s="148" t="s">
        <v>450</v>
      </c>
      <c r="Q89" s="148" t="s">
        <v>451</v>
      </c>
      <c r="R89" s="148" t="s">
        <v>452</v>
      </c>
      <c r="S89" s="148" t="s">
        <v>453</v>
      </c>
    </row>
    <row r="90" spans="8:19">
      <c r="H90" s="148" t="s">
        <v>441</v>
      </c>
      <c r="I90" s="148" t="s">
        <v>441</v>
      </c>
      <c r="J90" s="148"/>
      <c r="L90" s="148" t="s">
        <v>442</v>
      </c>
      <c r="M90" s="148"/>
      <c r="O90" s="148"/>
      <c r="P90" s="148"/>
      <c r="Q90" s="148" t="s">
        <v>442</v>
      </c>
      <c r="R90" s="148"/>
      <c r="S90" s="148"/>
    </row>
    <row r="91" spans="8:19">
      <c r="H91" s="148">
        <v>-40</v>
      </c>
      <c r="I91" s="148">
        <v>32</v>
      </c>
      <c r="J91" s="213">
        <v>1.1611100000000001</v>
      </c>
      <c r="K91" s="213">
        <v>5.4149999999999997E-2</v>
      </c>
      <c r="L91" s="213">
        <v>1.15E-3</v>
      </c>
      <c r="M91" s="218">
        <v>1.4800000000000001E-5</v>
      </c>
      <c r="N91" s="218">
        <v>1.01E-7</v>
      </c>
      <c r="O91" s="213">
        <v>1.524E-2</v>
      </c>
      <c r="P91" s="213">
        <v>5.1000000000000004E-4</v>
      </c>
      <c r="Q91" s="219">
        <v>7.9400000000000002E-6</v>
      </c>
      <c r="R91" s="218">
        <v>6.2200000000000001E-8</v>
      </c>
      <c r="S91" s="218">
        <v>0</v>
      </c>
    </row>
    <row r="92" spans="8:19">
      <c r="H92" s="148">
        <v>32</v>
      </c>
      <c r="I92" s="148">
        <v>95</v>
      </c>
      <c r="J92" s="213">
        <v>5.28</v>
      </c>
      <c r="K92" s="213">
        <v>-0.27517000000000003</v>
      </c>
      <c r="L92" s="213">
        <v>1.0699999999999999E-2</v>
      </c>
      <c r="M92" s="218">
        <v>-1.07E-4</v>
      </c>
      <c r="N92" s="218">
        <v>7.2099999999999996E-7</v>
      </c>
      <c r="O92" s="213">
        <v>1.39E-3</v>
      </c>
      <c r="P92" s="213">
        <v>1.3699999999999999E-3</v>
      </c>
      <c r="Q92" s="218">
        <v>-1.0200000000000001E-5</v>
      </c>
      <c r="R92" s="218">
        <v>2.05E-7</v>
      </c>
      <c r="S92" s="218">
        <v>0</v>
      </c>
    </row>
    <row r="93" spans="8:19">
      <c r="H93" s="148">
        <v>95</v>
      </c>
      <c r="I93" s="148">
        <v>158</v>
      </c>
      <c r="J93" s="213">
        <v>-191.0968</v>
      </c>
      <c r="K93" s="213">
        <v>5.7596299999999996</v>
      </c>
      <c r="L93" s="213">
        <v>-5.8099999999999999E-2</v>
      </c>
      <c r="M93" s="218">
        <v>2.4600000000000002E-4</v>
      </c>
      <c r="N93" s="218">
        <v>0</v>
      </c>
      <c r="O93" s="213">
        <v>-0.39489999999999997</v>
      </c>
      <c r="P93" s="213">
        <v>1.141E-2</v>
      </c>
      <c r="Q93" s="218">
        <v>-9.5199999999999997E-5</v>
      </c>
      <c r="R93" s="218">
        <v>4.46E-7</v>
      </c>
      <c r="S93" s="218">
        <v>0</v>
      </c>
    </row>
    <row r="94" spans="8:19">
      <c r="H94" s="148">
        <v>158</v>
      </c>
      <c r="I94" s="148">
        <v>212</v>
      </c>
      <c r="J94" s="213">
        <v>-857</v>
      </c>
      <c r="K94" s="213">
        <v>17.8355</v>
      </c>
      <c r="L94" s="213">
        <v>-0.13117000000000001</v>
      </c>
      <c r="M94" s="218">
        <v>3.9300000000000001E-4</v>
      </c>
      <c r="N94" s="218">
        <v>0</v>
      </c>
      <c r="O94" s="213">
        <v>163.125</v>
      </c>
      <c r="P94" s="213">
        <v>-3.6191</v>
      </c>
      <c r="Q94" s="218">
        <v>2.989E-2</v>
      </c>
      <c r="R94" s="218">
        <v>-1.1E-4</v>
      </c>
      <c r="S94" s="218">
        <v>1.4700000000000001E-7</v>
      </c>
    </row>
    <row r="95" spans="8:19">
      <c r="H95" s="148">
        <v>41</v>
      </c>
      <c r="I95" s="148">
        <v>149</v>
      </c>
      <c r="J95" s="213">
        <v>13.33</v>
      </c>
      <c r="K95" s="213">
        <v>-0.60470999999999997</v>
      </c>
      <c r="L95" s="213">
        <v>1.545E-2</v>
      </c>
      <c r="M95" s="218">
        <v>-1.26E-4</v>
      </c>
      <c r="N95" s="218">
        <v>6.9800000000000003E-7</v>
      </c>
      <c r="O95" s="213">
        <v>-1.12E-2</v>
      </c>
      <c r="P95" s="213">
        <v>1.92E-3</v>
      </c>
      <c r="Q95" s="218">
        <v>-1.7799999999999999E-5</v>
      </c>
      <c r="R95" s="218">
        <v>2.3799999999999999E-7</v>
      </c>
      <c r="S95" s="218">
        <v>0</v>
      </c>
    </row>
    <row r="98" spans="8:19">
      <c r="I98" s="148" t="s">
        <v>287</v>
      </c>
      <c r="J98" s="148" t="s">
        <v>444</v>
      </c>
      <c r="K98" s="148" t="s">
        <v>445</v>
      </c>
      <c r="L98" s="148" t="s">
        <v>446</v>
      </c>
      <c r="M98" s="148" t="s">
        <v>447</v>
      </c>
      <c r="N98" s="148" t="s">
        <v>448</v>
      </c>
      <c r="O98" s="148" t="s">
        <v>449</v>
      </c>
      <c r="P98" s="148" t="s">
        <v>450</v>
      </c>
      <c r="Q98" s="148" t="s">
        <v>451</v>
      </c>
      <c r="R98" s="148" t="s">
        <v>452</v>
      </c>
      <c r="S98" s="148" t="s">
        <v>453</v>
      </c>
    </row>
    <row r="99" spans="8:19">
      <c r="I99" s="220">
        <f>E7</f>
        <v>93.458333333333329</v>
      </c>
      <c r="J99" s="148">
        <f t="shared" ref="J99:S99" si="1">IF($E$7&lt;95,J92,J93)</f>
        <v>5.28</v>
      </c>
      <c r="K99" s="148">
        <f t="shared" si="1"/>
        <v>-0.27517000000000003</v>
      </c>
      <c r="L99" s="148">
        <f t="shared" si="1"/>
        <v>1.0699999999999999E-2</v>
      </c>
      <c r="M99" s="148">
        <f t="shared" si="1"/>
        <v>-1.07E-4</v>
      </c>
      <c r="N99" s="148">
        <f t="shared" si="1"/>
        <v>7.2099999999999996E-7</v>
      </c>
      <c r="O99" s="148">
        <f t="shared" si="1"/>
        <v>1.39E-3</v>
      </c>
      <c r="P99" s="148">
        <f t="shared" si="1"/>
        <v>1.3699999999999999E-3</v>
      </c>
      <c r="Q99" s="148">
        <f t="shared" si="1"/>
        <v>-1.0200000000000001E-5</v>
      </c>
      <c r="R99" s="148">
        <f t="shared" si="1"/>
        <v>2.05E-7</v>
      </c>
      <c r="S99" s="148">
        <f t="shared" si="1"/>
        <v>0</v>
      </c>
    </row>
    <row r="100" spans="8:19">
      <c r="I100" s="148" t="s">
        <v>112</v>
      </c>
      <c r="J100" s="148">
        <f>J99+K99*$I$99+L99*$I$99^2+M99*$I$99^3+N99*$I$99^4</f>
        <v>40.682490069544251</v>
      </c>
    </row>
    <row r="101" spans="8:19">
      <c r="I101" s="148" t="s">
        <v>113</v>
      </c>
      <c r="J101" s="148">
        <f>O99+P99*$I$99+Q99*$I$99^2+R99*$I$99^3+S99*$I$99^4</f>
        <v>0.20767958049298316</v>
      </c>
    </row>
    <row r="103" spans="8:19">
      <c r="H103" s="266" t="s">
        <v>493</v>
      </c>
      <c r="I103" s="266"/>
      <c r="J103" s="266"/>
      <c r="K103" s="266">
        <f>((J100/(E5/14.7))+H938)*108</f>
        <v>863.55488412687805</v>
      </c>
    </row>
  </sheetData>
  <mergeCells count="5">
    <mergeCell ref="H23:AA23"/>
    <mergeCell ref="H33:AA33"/>
    <mergeCell ref="H35:AA35"/>
    <mergeCell ref="H37:AA37"/>
    <mergeCell ref="H48:AA4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A6FA5-C9B3-472C-9AF8-FD405D2A8F4D}">
  <sheetPr codeName="Sheet22">
    <tabColor theme="7" tint="0.79998168889431442"/>
  </sheetPr>
  <dimension ref="B1:AA103"/>
  <sheetViews>
    <sheetView workbookViewId="0"/>
  </sheetViews>
  <sheetFormatPr defaultRowHeight="15"/>
  <cols>
    <col min="1" max="1" width="3.42578125" customWidth="1"/>
    <col min="2" max="2" width="9.28515625" customWidth="1"/>
    <col min="7" max="7" width="8.7109375" customWidth="1"/>
    <col min="8" max="8" width="15.28515625" customWidth="1"/>
    <col min="9" max="12" width="12" bestFit="1" customWidth="1"/>
    <col min="13" max="19" width="10.7109375" customWidth="1"/>
    <col min="21" max="22" width="12" bestFit="1" customWidth="1"/>
    <col min="23" max="24" width="12.28515625" bestFit="1" customWidth="1"/>
    <col min="25" max="25" width="12.5703125" bestFit="1" customWidth="1"/>
    <col min="26" max="26" width="12.28515625" bestFit="1" customWidth="1"/>
    <col min="27" max="27" width="12.5703125" bestFit="1" customWidth="1"/>
    <col min="28" max="28" width="12" bestFit="1" customWidth="1"/>
    <col min="29" max="32" width="12.28515625" bestFit="1" customWidth="1"/>
  </cols>
  <sheetData>
    <row r="1" spans="2:15" ht="18.75">
      <c r="B1" s="268" t="s">
        <v>603</v>
      </c>
    </row>
    <row r="2" spans="2:15">
      <c r="B2" s="269" t="s">
        <v>604</v>
      </c>
    </row>
    <row r="4" spans="2:15" ht="15.75" thickBot="1">
      <c r="B4" s="195" t="s">
        <v>270</v>
      </c>
    </row>
    <row r="5" spans="2:15" ht="19.5" thickBot="1">
      <c r="B5" s="270"/>
      <c r="C5" s="118"/>
      <c r="D5" s="118" t="s">
        <v>417</v>
      </c>
      <c r="E5" s="275">
        <f>Drawing!Q34</f>
        <v>764.99070994396732</v>
      </c>
      <c r="F5" s="276"/>
      <c r="H5" s="43"/>
      <c r="I5" s="284" t="s">
        <v>610</v>
      </c>
      <c r="J5" s="43"/>
      <c r="K5" s="43"/>
      <c r="L5" s="43"/>
      <c r="M5" s="43"/>
      <c r="N5" s="43"/>
      <c r="O5" s="43"/>
    </row>
    <row r="6" spans="2:15" ht="18.75">
      <c r="B6" s="271"/>
      <c r="D6" t="s">
        <v>416</v>
      </c>
      <c r="E6">
        <f>E5-14.7</f>
        <v>750.29070994396727</v>
      </c>
      <c r="F6" s="110"/>
      <c r="H6" s="260" t="s">
        <v>500</v>
      </c>
    </row>
    <row r="7" spans="2:15">
      <c r="B7" s="271"/>
      <c r="D7" t="s">
        <v>415</v>
      </c>
      <c r="E7" s="272">
        <f>Drawing!Q35</f>
        <v>87.458333333333329</v>
      </c>
      <c r="F7" s="277"/>
    </row>
    <row r="8" spans="2:15">
      <c r="B8" s="271"/>
      <c r="D8" t="s">
        <v>380</v>
      </c>
      <c r="E8" s="131">
        <f>E7+460</f>
        <v>547.45833333333337</v>
      </c>
      <c r="F8" s="278"/>
    </row>
    <row r="9" spans="2:15">
      <c r="B9" s="271"/>
      <c r="D9" s="199" t="s">
        <v>377</v>
      </c>
      <c r="E9" s="212">
        <f>E10-273</f>
        <v>31.143518518518533</v>
      </c>
      <c r="F9" s="279"/>
    </row>
    <row r="10" spans="2:15">
      <c r="B10" s="271"/>
      <c r="D10" t="s">
        <v>379</v>
      </c>
      <c r="E10" s="212">
        <f>E8*5/9</f>
        <v>304.14351851851853</v>
      </c>
      <c r="F10" s="279"/>
    </row>
    <row r="11" spans="2:15">
      <c r="B11" s="271"/>
      <c r="F11" s="110"/>
    </row>
    <row r="12" spans="2:15">
      <c r="B12" s="271"/>
      <c r="C12" t="s">
        <v>606</v>
      </c>
      <c r="E12" s="32" t="s">
        <v>605</v>
      </c>
      <c r="F12" s="280"/>
    </row>
    <row r="13" spans="2:15">
      <c r="B13" s="271"/>
      <c r="F13" s="110"/>
    </row>
    <row r="14" spans="2:15">
      <c r="B14" s="271" t="s">
        <v>609</v>
      </c>
      <c r="E14" s="273">
        <f>I57</f>
        <v>40.412651117380811</v>
      </c>
      <c r="F14" s="281"/>
      <c r="H14" t="s">
        <v>413</v>
      </c>
    </row>
    <row r="15" spans="2:15">
      <c r="B15" s="271" t="s">
        <v>607</v>
      </c>
      <c r="E15" s="273">
        <f>I20</f>
        <v>51.850258048380134</v>
      </c>
      <c r="F15" s="281"/>
    </row>
    <row r="16" spans="2:15" ht="15.75" thickBot="1">
      <c r="B16" s="274" t="s">
        <v>608</v>
      </c>
      <c r="C16" s="43"/>
      <c r="D16" s="43"/>
      <c r="E16" s="282">
        <f>K103</f>
        <v>69.859248733409302</v>
      </c>
      <c r="F16" s="283"/>
      <c r="H16" t="s">
        <v>113</v>
      </c>
      <c r="I16" s="212">
        <f>10^(6.69449-3083.7/(O28+459.67))</f>
        <v>11.437606930999324</v>
      </c>
    </row>
    <row r="17" spans="8:27">
      <c r="I17" s="212"/>
    </row>
    <row r="18" spans="8:27">
      <c r="H18" t="s">
        <v>418</v>
      </c>
      <c r="I18" s="149">
        <f>T45/E5</f>
        <v>8.5204830523678712E-4</v>
      </c>
    </row>
    <row r="19" spans="8:27">
      <c r="I19" s="149"/>
    </row>
    <row r="20" spans="8:27">
      <c r="H20" s="266" t="s">
        <v>414</v>
      </c>
      <c r="I20" s="267">
        <f>I18*47430+I16</f>
        <v>51.850258048380134</v>
      </c>
      <c r="K20">
        <f>I20/47430</f>
        <v>1.0931954047729312E-3</v>
      </c>
    </row>
    <row r="22" spans="8:27" ht="18.75">
      <c r="H22" s="260" t="s">
        <v>499</v>
      </c>
    </row>
    <row r="23" spans="8:27" ht="38.25" customHeight="1">
      <c r="H23" s="352" t="s">
        <v>370</v>
      </c>
      <c r="I23" s="352"/>
      <c r="J23" s="352"/>
      <c r="K23" s="352"/>
      <c r="L23" s="352"/>
      <c r="M23" s="352"/>
      <c r="N23" s="352"/>
      <c r="O23" s="352"/>
      <c r="P23" s="352"/>
      <c r="Q23" s="352"/>
      <c r="R23" s="352"/>
      <c r="S23" s="352"/>
      <c r="T23" s="352"/>
      <c r="U23" s="352"/>
      <c r="V23" s="352"/>
      <c r="W23" s="352"/>
      <c r="X23" s="352"/>
      <c r="Y23" s="352"/>
      <c r="Z23" s="352"/>
      <c r="AA23" s="352"/>
    </row>
    <row r="24" spans="8:27">
      <c r="H24" s="198"/>
    </row>
    <row r="25" spans="8:27">
      <c r="H25" s="198"/>
    </row>
    <row r="27" spans="8:27">
      <c r="H27" s="198" t="s">
        <v>371</v>
      </c>
    </row>
    <row r="28" spans="8:27">
      <c r="H28" s="198"/>
      <c r="N28" t="s">
        <v>378</v>
      </c>
      <c r="O28" s="215">
        <f>E7</f>
        <v>87.458333333333329</v>
      </c>
    </row>
    <row r="29" spans="8:27">
      <c r="H29" s="198"/>
    </row>
    <row r="31" spans="8:27">
      <c r="H31" s="216" t="s">
        <v>419</v>
      </c>
    </row>
    <row r="33" spans="8:27" ht="26.25" customHeight="1">
      <c r="H33" s="352" t="s">
        <v>372</v>
      </c>
      <c r="I33" s="352"/>
      <c r="J33" s="352"/>
      <c r="K33" s="352"/>
      <c r="L33" s="352"/>
      <c r="M33" s="352"/>
      <c r="N33" s="352"/>
      <c r="O33" s="352"/>
      <c r="P33" s="352"/>
      <c r="Q33" s="352"/>
      <c r="R33" s="352"/>
      <c r="S33" s="352"/>
      <c r="T33" s="352"/>
      <c r="U33" s="352"/>
      <c r="V33" s="352"/>
      <c r="W33" s="352"/>
      <c r="X33" s="352"/>
      <c r="Y33" s="352"/>
      <c r="Z33" s="352"/>
      <c r="AA33" s="352"/>
    </row>
    <row r="35" spans="8:27">
      <c r="H35" s="352" t="s">
        <v>373</v>
      </c>
      <c r="I35" s="352"/>
      <c r="J35" s="352"/>
      <c r="K35" s="352"/>
      <c r="L35" s="352"/>
      <c r="M35" s="352"/>
      <c r="N35" s="352"/>
      <c r="O35" s="352"/>
      <c r="P35" s="352"/>
      <c r="Q35" s="352"/>
      <c r="R35" s="352"/>
      <c r="S35" s="352"/>
      <c r="T35" s="352"/>
      <c r="U35" s="352"/>
      <c r="V35" s="352"/>
      <c r="W35" s="352"/>
      <c r="X35" s="352"/>
      <c r="Y35" s="352"/>
      <c r="Z35" s="352"/>
      <c r="AA35" s="352"/>
    </row>
    <row r="37" spans="8:27">
      <c r="H37" s="352" t="s">
        <v>374</v>
      </c>
      <c r="I37" s="352"/>
      <c r="J37" s="352"/>
      <c r="K37" s="352"/>
      <c r="L37" s="352"/>
      <c r="M37" s="352"/>
      <c r="N37" s="352"/>
      <c r="O37" s="352"/>
      <c r="P37" s="352"/>
      <c r="Q37" s="352"/>
      <c r="R37" s="352"/>
      <c r="S37" s="352"/>
      <c r="T37" s="352"/>
      <c r="U37" s="352"/>
      <c r="V37" s="352"/>
      <c r="W37" s="352"/>
      <c r="X37" s="352"/>
      <c r="Y37" s="352"/>
      <c r="Z37" s="352"/>
      <c r="AA37" s="352"/>
    </row>
    <row r="39" spans="8:27">
      <c r="K39" s="200" t="s">
        <v>382</v>
      </c>
      <c r="L39" s="200" t="s">
        <v>383</v>
      </c>
      <c r="M39" s="200" t="s">
        <v>384</v>
      </c>
      <c r="N39" s="200" t="s">
        <v>385</v>
      </c>
      <c r="O39" s="200" t="s">
        <v>386</v>
      </c>
      <c r="P39" s="200" t="s">
        <v>387</v>
      </c>
    </row>
    <row r="40" spans="8:27">
      <c r="K40" s="200">
        <v>-7.8595178299999997</v>
      </c>
      <c r="L40" s="200">
        <v>1.84408259</v>
      </c>
      <c r="M40" s="200">
        <v>-11.7866497</v>
      </c>
      <c r="N40" s="200">
        <v>22.680741099999999</v>
      </c>
      <c r="O40" s="200">
        <v>-15.9618719</v>
      </c>
      <c r="P40" s="200">
        <v>1.80122502</v>
      </c>
    </row>
    <row r="41" spans="8:27">
      <c r="K41" s="200" t="s">
        <v>376</v>
      </c>
      <c r="L41" s="200" t="s">
        <v>388</v>
      </c>
      <c r="M41" s="200" t="s">
        <v>389</v>
      </c>
      <c r="N41" s="200" t="s">
        <v>390</v>
      </c>
      <c r="O41" s="200" t="s">
        <v>391</v>
      </c>
      <c r="P41" s="200" t="s">
        <v>392</v>
      </c>
    </row>
    <row r="42" spans="8:27">
      <c r="H42" s="200" t="s">
        <v>376</v>
      </c>
      <c r="I42" s="200">
        <f>1-(E10/647.096)</f>
        <v>0.52998702121707053</v>
      </c>
      <c r="K42" s="200">
        <f>I42</f>
        <v>0.52998702121707053</v>
      </c>
      <c r="L42" s="200">
        <f>I42^1.5</f>
        <v>0.3858316511737428</v>
      </c>
      <c r="M42" s="200">
        <f>I42^3</f>
        <v>0.14886606304745675</v>
      </c>
      <c r="N42" s="200">
        <f>I42^3.5</f>
        <v>0.10837480279693444</v>
      </c>
      <c r="O42" s="200">
        <f>I42^4</f>
        <v>7.8897081314834222E-2</v>
      </c>
      <c r="P42" s="200">
        <f>I42^7.5</f>
        <v>8.5504556287488587E-3</v>
      </c>
    </row>
    <row r="43" spans="8:27">
      <c r="H43" s="200" t="s">
        <v>381</v>
      </c>
      <c r="I43" s="200">
        <f>647.096/E10</f>
        <v>2.1276008219803639</v>
      </c>
      <c r="K43" s="200" t="s">
        <v>399</v>
      </c>
      <c r="L43" s="200" t="s">
        <v>400</v>
      </c>
      <c r="M43" s="200" t="s">
        <v>401</v>
      </c>
      <c r="N43" s="200" t="s">
        <v>402</v>
      </c>
      <c r="O43" s="200" t="s">
        <v>403</v>
      </c>
      <c r="P43" s="200" t="s">
        <v>404</v>
      </c>
      <c r="Q43" s="200" t="s">
        <v>393</v>
      </c>
      <c r="R43" s="200" t="s">
        <v>394</v>
      </c>
      <c r="S43" s="200" t="s">
        <v>395</v>
      </c>
      <c r="T43" s="261" t="s">
        <v>396</v>
      </c>
    </row>
    <row r="44" spans="8:27">
      <c r="H44" s="200" t="s">
        <v>397</v>
      </c>
      <c r="I44" s="200">
        <f>22.064</f>
        <v>22.064</v>
      </c>
      <c r="J44" s="157" t="s">
        <v>398</v>
      </c>
      <c r="K44" s="200">
        <f>K40*K42</f>
        <v>-4.1654424429241539</v>
      </c>
      <c r="L44" s="200">
        <f t="shared" ref="L44:P44" si="0">L40*L42</f>
        <v>0.71150543060045213</v>
      </c>
      <c r="M44" s="200">
        <f t="shared" si="0"/>
        <v>-1.7546321373584872</v>
      </c>
      <c r="N44" s="200">
        <f t="shared" si="0"/>
        <v>2.458020844000826</v>
      </c>
      <c r="O44" s="200">
        <f t="shared" si="0"/>
        <v>-1.2593451052312674</v>
      </c>
      <c r="P44" s="200">
        <f t="shared" si="0"/>
        <v>1.5401294610902276E-2</v>
      </c>
      <c r="Q44" s="200">
        <f>K44+L44+M44+N44+O44+P44</f>
        <v>-3.994492116301728</v>
      </c>
      <c r="R44" s="200">
        <f>Q44*I43</f>
        <v>-8.4986847100376401</v>
      </c>
      <c r="S44" s="154">
        <f>EXP(R44)</f>
        <v>2.0373616499013653E-4</v>
      </c>
      <c r="T44" s="262">
        <f>S44*I44</f>
        <v>4.4952347443423723E-3</v>
      </c>
      <c r="U44" s="157" t="s">
        <v>398</v>
      </c>
    </row>
    <row r="45" spans="8:27">
      <c r="H45" s="200" t="s">
        <v>397</v>
      </c>
      <c r="I45" s="200">
        <f>I44*145</f>
        <v>3199.28</v>
      </c>
      <c r="J45" s="157" t="s">
        <v>57</v>
      </c>
      <c r="T45" s="263">
        <f>T44*145</f>
        <v>0.65180903792964395</v>
      </c>
      <c r="U45" s="157" t="s">
        <v>57</v>
      </c>
    </row>
    <row r="48" spans="8:27" ht="24" customHeight="1">
      <c r="H48" s="352" t="s">
        <v>375</v>
      </c>
      <c r="I48" s="352"/>
      <c r="J48" s="352"/>
      <c r="K48" s="352"/>
      <c r="L48" s="352"/>
      <c r="M48" s="352"/>
      <c r="N48" s="352"/>
      <c r="O48" s="352"/>
      <c r="P48" s="352"/>
      <c r="Q48" s="352"/>
      <c r="R48" s="352"/>
      <c r="S48" s="352"/>
      <c r="T48" s="352"/>
      <c r="U48" s="352"/>
      <c r="V48" s="352"/>
      <c r="W48" s="352"/>
      <c r="X48" s="352"/>
      <c r="Y48" s="352"/>
      <c r="Z48" s="352"/>
      <c r="AA48" s="352"/>
    </row>
    <row r="49" spans="8:20">
      <c r="H49" s="198"/>
    </row>
    <row r="50" spans="8:20">
      <c r="H50" s="198"/>
    </row>
    <row r="51" spans="8:20">
      <c r="H51" s="197"/>
    </row>
    <row r="52" spans="8:20">
      <c r="H52" s="197"/>
    </row>
    <row r="53" spans="8:20">
      <c r="H53" s="197"/>
    </row>
    <row r="57" spans="8:20">
      <c r="H57" s="266" t="s">
        <v>501</v>
      </c>
      <c r="I57" s="266">
        <f>47430*T45/E5</f>
        <v>40.412651117380811</v>
      </c>
      <c r="J57" s="266" t="s">
        <v>502</v>
      </c>
    </row>
    <row r="60" spans="8:20" ht="18.75">
      <c r="H60" s="260" t="s">
        <v>421</v>
      </c>
    </row>
    <row r="62" spans="8:20">
      <c r="H62" t="s">
        <v>422</v>
      </c>
    </row>
    <row r="64" spans="8:20">
      <c r="H64" t="s">
        <v>430</v>
      </c>
      <c r="T64" s="199" t="s">
        <v>432</v>
      </c>
    </row>
    <row r="66" spans="8:20">
      <c r="H66" t="s">
        <v>429</v>
      </c>
      <c r="L66" t="s">
        <v>428</v>
      </c>
      <c r="O66" t="s">
        <v>443</v>
      </c>
      <c r="T66" t="s">
        <v>431</v>
      </c>
    </row>
    <row r="68" spans="8:20">
      <c r="H68" t="s">
        <v>424</v>
      </c>
    </row>
    <row r="70" spans="8:20">
      <c r="H70" s="148" t="s">
        <v>433</v>
      </c>
      <c r="I70" s="148" t="s">
        <v>434</v>
      </c>
      <c r="J70" s="148" t="s">
        <v>435</v>
      </c>
      <c r="K70" s="148" t="s">
        <v>436</v>
      </c>
      <c r="L70" s="148" t="s">
        <v>437</v>
      </c>
      <c r="M70" s="148" t="s">
        <v>438</v>
      </c>
      <c r="N70" s="148" t="s">
        <v>439</v>
      </c>
      <c r="O70" s="148" t="s">
        <v>440</v>
      </c>
    </row>
    <row r="71" spans="8:20">
      <c r="H71" s="148" t="s">
        <v>441</v>
      </c>
      <c r="I71" s="148" t="s">
        <v>441</v>
      </c>
      <c r="J71" s="148" t="s">
        <v>12</v>
      </c>
      <c r="K71" s="148" t="s">
        <v>442</v>
      </c>
      <c r="L71" s="148"/>
      <c r="M71" s="148"/>
      <c r="N71" s="148" t="s">
        <v>442</v>
      </c>
      <c r="O71" s="148"/>
    </row>
    <row r="72" spans="8:20">
      <c r="H72" s="148">
        <v>-40</v>
      </c>
      <c r="I72" s="148">
        <v>32</v>
      </c>
      <c r="J72" s="148">
        <v>163</v>
      </c>
      <c r="K72" s="148">
        <v>210</v>
      </c>
      <c r="L72" s="148">
        <v>67</v>
      </c>
      <c r="M72" s="148">
        <v>0.5464</v>
      </c>
      <c r="N72" s="148">
        <v>211</v>
      </c>
      <c r="O72" s="148">
        <v>79</v>
      </c>
    </row>
    <row r="73" spans="8:20">
      <c r="H73" s="148">
        <v>32</v>
      </c>
      <c r="I73" s="148">
        <v>95</v>
      </c>
      <c r="J73" s="148">
        <v>1011</v>
      </c>
      <c r="K73" s="148">
        <v>303</v>
      </c>
      <c r="L73" s="148">
        <v>83</v>
      </c>
      <c r="M73" s="148">
        <v>2.3921999999999999</v>
      </c>
      <c r="N73" s="148">
        <v>308</v>
      </c>
      <c r="O73" s="148">
        <v>97</v>
      </c>
    </row>
    <row r="74" spans="8:20">
      <c r="H74" s="148">
        <v>95</v>
      </c>
      <c r="I74" s="148">
        <v>158</v>
      </c>
      <c r="J74" s="148">
        <v>8012</v>
      </c>
      <c r="K74" s="148">
        <v>444</v>
      </c>
      <c r="L74" s="148">
        <v>108</v>
      </c>
      <c r="M74" s="148">
        <v>5.1482999999999999</v>
      </c>
      <c r="N74" s="148">
        <v>367</v>
      </c>
      <c r="O74" s="148">
        <v>108</v>
      </c>
    </row>
    <row r="75" spans="8:20">
      <c r="H75" s="148">
        <v>158</v>
      </c>
      <c r="I75" s="148">
        <v>212</v>
      </c>
      <c r="J75" s="148">
        <v>8101</v>
      </c>
      <c r="K75" s="148">
        <v>450</v>
      </c>
      <c r="L75" s="148">
        <v>110</v>
      </c>
      <c r="M75" s="148">
        <v>1.5610999999999999</v>
      </c>
      <c r="N75" s="148">
        <v>227</v>
      </c>
      <c r="O75" s="148">
        <v>59.4</v>
      </c>
    </row>
    <row r="76" spans="8:20">
      <c r="H76" s="148">
        <v>41</v>
      </c>
      <c r="I76" s="148">
        <v>149</v>
      </c>
      <c r="J76" s="148">
        <v>3698</v>
      </c>
      <c r="K76" s="148">
        <v>386</v>
      </c>
      <c r="L76" s="148">
        <v>98</v>
      </c>
      <c r="M76" s="148">
        <v>5.6269</v>
      </c>
      <c r="N76" s="148">
        <v>376</v>
      </c>
      <c r="O76" s="148">
        <v>110</v>
      </c>
    </row>
    <row r="78" spans="8:20">
      <c r="H78" t="s">
        <v>423</v>
      </c>
    </row>
    <row r="80" spans="8:20">
      <c r="H80" t="s">
        <v>425</v>
      </c>
    </row>
    <row r="81" spans="8:19">
      <c r="H81" t="s">
        <v>427</v>
      </c>
    </row>
    <row r="84" spans="8:19">
      <c r="H84" t="s">
        <v>371</v>
      </c>
    </row>
    <row r="87" spans="8:19">
      <c r="H87" t="s">
        <v>426</v>
      </c>
    </row>
    <row r="89" spans="8:19">
      <c r="H89" s="148" t="s">
        <v>433</v>
      </c>
      <c r="I89" s="148" t="s">
        <v>434</v>
      </c>
      <c r="J89" s="148" t="s">
        <v>444</v>
      </c>
      <c r="K89" s="148" t="s">
        <v>445</v>
      </c>
      <c r="L89" s="148" t="s">
        <v>446</v>
      </c>
      <c r="M89" s="148" t="s">
        <v>447</v>
      </c>
      <c r="N89" s="148" t="s">
        <v>448</v>
      </c>
      <c r="O89" s="148" t="s">
        <v>449</v>
      </c>
      <c r="P89" s="148" t="s">
        <v>450</v>
      </c>
      <c r="Q89" s="148" t="s">
        <v>451</v>
      </c>
      <c r="R89" s="148" t="s">
        <v>452</v>
      </c>
      <c r="S89" s="148" t="s">
        <v>453</v>
      </c>
    </row>
    <row r="90" spans="8:19">
      <c r="H90" s="148" t="s">
        <v>441</v>
      </c>
      <c r="I90" s="148" t="s">
        <v>441</v>
      </c>
      <c r="J90" s="148"/>
      <c r="L90" s="148" t="s">
        <v>442</v>
      </c>
      <c r="M90" s="148"/>
      <c r="O90" s="148"/>
      <c r="P90" s="148"/>
      <c r="Q90" s="148" t="s">
        <v>442</v>
      </c>
      <c r="R90" s="148"/>
      <c r="S90" s="148"/>
    </row>
    <row r="91" spans="8:19">
      <c r="H91" s="148">
        <v>-40</v>
      </c>
      <c r="I91" s="148">
        <v>32</v>
      </c>
      <c r="J91" s="213">
        <v>1.1611100000000001</v>
      </c>
      <c r="K91" s="213">
        <v>5.4149999999999997E-2</v>
      </c>
      <c r="L91" s="213">
        <v>1.15E-3</v>
      </c>
      <c r="M91" s="218">
        <v>1.4800000000000001E-5</v>
      </c>
      <c r="N91" s="218">
        <v>1.01E-7</v>
      </c>
      <c r="O91" s="213">
        <v>1.524E-2</v>
      </c>
      <c r="P91" s="213">
        <v>5.1000000000000004E-4</v>
      </c>
      <c r="Q91" s="219">
        <v>7.9400000000000002E-6</v>
      </c>
      <c r="R91" s="218">
        <v>6.2200000000000001E-8</v>
      </c>
      <c r="S91" s="218">
        <v>0</v>
      </c>
    </row>
    <row r="92" spans="8:19">
      <c r="H92" s="148">
        <v>32</v>
      </c>
      <c r="I92" s="148">
        <v>95</v>
      </c>
      <c r="J92" s="213">
        <v>5.28</v>
      </c>
      <c r="K92" s="213">
        <v>-0.27517000000000003</v>
      </c>
      <c r="L92" s="213">
        <v>1.0699999999999999E-2</v>
      </c>
      <c r="M92" s="218">
        <v>-1.07E-4</v>
      </c>
      <c r="N92" s="218">
        <v>7.2099999999999996E-7</v>
      </c>
      <c r="O92" s="213">
        <v>1.39E-3</v>
      </c>
      <c r="P92" s="213">
        <v>1.3699999999999999E-3</v>
      </c>
      <c r="Q92" s="218">
        <v>-1.0200000000000001E-5</v>
      </c>
      <c r="R92" s="218">
        <v>2.05E-7</v>
      </c>
      <c r="S92" s="218">
        <v>0</v>
      </c>
    </row>
    <row r="93" spans="8:19">
      <c r="H93" s="148">
        <v>95</v>
      </c>
      <c r="I93" s="148">
        <v>158</v>
      </c>
      <c r="J93" s="213">
        <v>-191.0968</v>
      </c>
      <c r="K93" s="213">
        <v>5.7596299999999996</v>
      </c>
      <c r="L93" s="213">
        <v>-5.8099999999999999E-2</v>
      </c>
      <c r="M93" s="218">
        <v>2.4600000000000002E-4</v>
      </c>
      <c r="N93" s="218">
        <v>0</v>
      </c>
      <c r="O93" s="213">
        <v>-0.39489999999999997</v>
      </c>
      <c r="P93" s="213">
        <v>1.141E-2</v>
      </c>
      <c r="Q93" s="218">
        <v>-9.5199999999999997E-5</v>
      </c>
      <c r="R93" s="218">
        <v>4.46E-7</v>
      </c>
      <c r="S93" s="218">
        <v>0</v>
      </c>
    </row>
    <row r="94" spans="8:19">
      <c r="H94" s="148">
        <v>158</v>
      </c>
      <c r="I94" s="148">
        <v>212</v>
      </c>
      <c r="J94" s="213">
        <v>-857</v>
      </c>
      <c r="K94" s="213">
        <v>17.8355</v>
      </c>
      <c r="L94" s="213">
        <v>-0.13117000000000001</v>
      </c>
      <c r="M94" s="218">
        <v>3.9300000000000001E-4</v>
      </c>
      <c r="N94" s="218">
        <v>0</v>
      </c>
      <c r="O94" s="213">
        <v>163.125</v>
      </c>
      <c r="P94" s="213">
        <v>-3.6191</v>
      </c>
      <c r="Q94" s="218">
        <v>2.989E-2</v>
      </c>
      <c r="R94" s="218">
        <v>-1.1E-4</v>
      </c>
      <c r="S94" s="218">
        <v>1.4700000000000001E-7</v>
      </c>
    </row>
    <row r="95" spans="8:19">
      <c r="H95" s="148">
        <v>41</v>
      </c>
      <c r="I95" s="148">
        <v>149</v>
      </c>
      <c r="J95" s="213">
        <v>13.33</v>
      </c>
      <c r="K95" s="213">
        <v>-0.60470999999999997</v>
      </c>
      <c r="L95" s="213">
        <v>1.545E-2</v>
      </c>
      <c r="M95" s="218">
        <v>-1.26E-4</v>
      </c>
      <c r="N95" s="218">
        <v>6.9800000000000003E-7</v>
      </c>
      <c r="O95" s="213">
        <v>-1.12E-2</v>
      </c>
      <c r="P95" s="213">
        <v>1.92E-3</v>
      </c>
      <c r="Q95" s="218">
        <v>-1.7799999999999999E-5</v>
      </c>
      <c r="R95" s="218">
        <v>2.3799999999999999E-7</v>
      </c>
      <c r="S95" s="218">
        <v>0</v>
      </c>
    </row>
    <row r="98" spans="8:19">
      <c r="I98" s="148" t="s">
        <v>287</v>
      </c>
      <c r="J98" s="148" t="s">
        <v>444</v>
      </c>
      <c r="K98" s="148" t="s">
        <v>445</v>
      </c>
      <c r="L98" s="148" t="s">
        <v>446</v>
      </c>
      <c r="M98" s="148" t="s">
        <v>447</v>
      </c>
      <c r="N98" s="148" t="s">
        <v>448</v>
      </c>
      <c r="O98" s="148" t="s">
        <v>449</v>
      </c>
      <c r="P98" s="148" t="s">
        <v>450</v>
      </c>
      <c r="Q98" s="148" t="s">
        <v>451</v>
      </c>
      <c r="R98" s="148" t="s">
        <v>452</v>
      </c>
      <c r="S98" s="148" t="s">
        <v>453</v>
      </c>
    </row>
    <row r="99" spans="8:19">
      <c r="I99" s="220">
        <f>E7</f>
        <v>87.458333333333329</v>
      </c>
      <c r="J99" s="148">
        <f t="shared" ref="J99:S99" si="1">IF($E$7&lt;95,J92,J93)</f>
        <v>5.28</v>
      </c>
      <c r="K99" s="148">
        <f t="shared" si="1"/>
        <v>-0.27517000000000003</v>
      </c>
      <c r="L99" s="148">
        <f t="shared" si="1"/>
        <v>1.0699999999999999E-2</v>
      </c>
      <c r="M99" s="148">
        <f t="shared" si="1"/>
        <v>-1.07E-4</v>
      </c>
      <c r="N99" s="148">
        <f t="shared" si="1"/>
        <v>7.2099999999999996E-7</v>
      </c>
      <c r="O99" s="148">
        <f t="shared" si="1"/>
        <v>1.39E-3</v>
      </c>
      <c r="P99" s="148">
        <f t="shared" si="1"/>
        <v>1.3699999999999999E-3</v>
      </c>
      <c r="Q99" s="148">
        <f t="shared" si="1"/>
        <v>-1.0200000000000001E-5</v>
      </c>
      <c r="R99" s="148">
        <f t="shared" si="1"/>
        <v>2.05E-7</v>
      </c>
      <c r="S99" s="148">
        <f t="shared" si="1"/>
        <v>0</v>
      </c>
    </row>
    <row r="100" spans="8:19">
      <c r="I100" s="148" t="s">
        <v>112</v>
      </c>
      <c r="J100" s="148">
        <f>J99+K99*$I$99+L99*$I$99^2+M99*$I$99^3+N99*$I$99^4</f>
        <v>33.66192761698349</v>
      </c>
    </row>
    <row r="101" spans="8:19">
      <c r="I101" s="148" t="s">
        <v>113</v>
      </c>
      <c r="J101" s="148">
        <f>O99+P99*$I$99+Q99*$I$99^2+R99*$I$99^3+S99*$I$99^4</f>
        <v>0.18032641033673319</v>
      </c>
    </row>
    <row r="103" spans="8:19">
      <c r="H103" s="266" t="s">
        <v>493</v>
      </c>
      <c r="I103" s="266"/>
      <c r="J103" s="266"/>
      <c r="K103" s="266">
        <f>((J100/(E5/14.7))+H938)*108</f>
        <v>69.859248733409302</v>
      </c>
    </row>
  </sheetData>
  <mergeCells count="5">
    <mergeCell ref="H23:AA23"/>
    <mergeCell ref="H33:AA33"/>
    <mergeCell ref="H35:AA35"/>
    <mergeCell ref="H37:AA37"/>
    <mergeCell ref="H48:AA4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D7A8F-ED44-43FF-B6BC-9B8486C326B9}">
  <sheetPr codeName="Sheet23">
    <tabColor theme="7" tint="0.79998168889431442"/>
  </sheetPr>
  <dimension ref="B1:AA103"/>
  <sheetViews>
    <sheetView workbookViewId="0"/>
  </sheetViews>
  <sheetFormatPr defaultRowHeight="15"/>
  <cols>
    <col min="1" max="1" width="3.42578125" customWidth="1"/>
    <col min="2" max="2" width="9.28515625" customWidth="1"/>
    <col min="7" max="7" width="8.7109375" customWidth="1"/>
    <col min="8" max="8" width="15.28515625" customWidth="1"/>
    <col min="9" max="12" width="12" bestFit="1" customWidth="1"/>
    <col min="13" max="19" width="10.7109375" customWidth="1"/>
    <col min="21" max="22" width="12" bestFit="1" customWidth="1"/>
    <col min="23" max="24" width="12.28515625" bestFit="1" customWidth="1"/>
    <col min="25" max="25" width="12.5703125" bestFit="1" customWidth="1"/>
    <col min="26" max="26" width="12.28515625" bestFit="1" customWidth="1"/>
    <col min="27" max="27" width="12.5703125" bestFit="1" customWidth="1"/>
    <col min="28" max="28" width="12" bestFit="1" customWidth="1"/>
    <col min="29" max="32" width="12.28515625" bestFit="1" customWidth="1"/>
  </cols>
  <sheetData>
    <row r="1" spans="2:15" ht="18.75">
      <c r="B1" s="268" t="s">
        <v>603</v>
      </c>
    </row>
    <row r="2" spans="2:15">
      <c r="B2" s="269" t="s">
        <v>604</v>
      </c>
    </row>
    <row r="4" spans="2:15" ht="15.75" thickBot="1">
      <c r="B4" s="195" t="s">
        <v>270</v>
      </c>
    </row>
    <row r="5" spans="2:15" ht="19.5" thickBot="1">
      <c r="B5" s="270"/>
      <c r="C5" s="118"/>
      <c r="D5" s="118" t="s">
        <v>417</v>
      </c>
      <c r="E5" s="275">
        <f>Drawing!Q34</f>
        <v>764.99070994396732</v>
      </c>
      <c r="F5" s="276"/>
      <c r="H5" s="43"/>
      <c r="I5" s="284" t="s">
        <v>610</v>
      </c>
      <c r="J5" s="43"/>
      <c r="K5" s="43"/>
      <c r="L5" s="43"/>
      <c r="M5" s="43"/>
      <c r="N5" s="43"/>
      <c r="O5" s="43"/>
    </row>
    <row r="6" spans="2:15" ht="18.75">
      <c r="B6" s="271"/>
      <c r="D6" t="s">
        <v>416</v>
      </c>
      <c r="E6">
        <f>E5-14.7</f>
        <v>750.29070994396727</v>
      </c>
      <c r="F6" s="110"/>
      <c r="H6" s="260" t="s">
        <v>500</v>
      </c>
    </row>
    <row r="7" spans="2:15">
      <c r="B7" s="271"/>
      <c r="D7" t="s">
        <v>415</v>
      </c>
      <c r="E7" s="272">
        <f>Drawing!Q35</f>
        <v>87.458333333333329</v>
      </c>
      <c r="F7" s="277"/>
    </row>
    <row r="8" spans="2:15">
      <c r="B8" s="271"/>
      <c r="D8" t="s">
        <v>380</v>
      </c>
      <c r="E8" s="131">
        <f>E7+460</f>
        <v>547.45833333333337</v>
      </c>
      <c r="F8" s="278"/>
    </row>
    <row r="9" spans="2:15">
      <c r="B9" s="271"/>
      <c r="D9" s="199" t="s">
        <v>377</v>
      </c>
      <c r="E9" s="212">
        <f>E10-273</f>
        <v>31.143518518518533</v>
      </c>
      <c r="F9" s="279"/>
    </row>
    <row r="10" spans="2:15">
      <c r="B10" s="271"/>
      <c r="D10" t="s">
        <v>379</v>
      </c>
      <c r="E10" s="212">
        <f>E8*5/9</f>
        <v>304.14351851851853</v>
      </c>
      <c r="F10" s="279"/>
    </row>
    <row r="11" spans="2:15">
      <c r="B11" s="271"/>
      <c r="F11" s="110"/>
    </row>
    <row r="12" spans="2:15">
      <c r="B12" s="271"/>
      <c r="C12" t="s">
        <v>606</v>
      </c>
      <c r="E12" s="32" t="s">
        <v>605</v>
      </c>
      <c r="F12" s="280"/>
    </row>
    <row r="13" spans="2:15">
      <c r="B13" s="271"/>
      <c r="F13" s="110"/>
    </row>
    <row r="14" spans="2:15">
      <c r="B14" s="271" t="s">
        <v>609</v>
      </c>
      <c r="E14" s="273">
        <f>I57</f>
        <v>40.412651117380811</v>
      </c>
      <c r="F14" s="281"/>
      <c r="H14" t="s">
        <v>413</v>
      </c>
    </row>
    <row r="15" spans="2:15">
      <c r="B15" s="271" t="s">
        <v>607</v>
      </c>
      <c r="E15" s="273">
        <f>I20</f>
        <v>51.850258048380134</v>
      </c>
      <c r="F15" s="281"/>
    </row>
    <row r="16" spans="2:15" ht="15.75" thickBot="1">
      <c r="B16" s="274" t="s">
        <v>608</v>
      </c>
      <c r="C16" s="43"/>
      <c r="D16" s="43"/>
      <c r="E16" s="282">
        <f>K103</f>
        <v>69.859248733409302</v>
      </c>
      <c r="F16" s="283"/>
      <c r="H16" t="s">
        <v>113</v>
      </c>
      <c r="I16" s="212">
        <f>10^(6.69449-3083.7/(O28+459.67))</f>
        <v>11.437606930999324</v>
      </c>
    </row>
    <row r="17" spans="8:27">
      <c r="I17" s="212"/>
    </row>
    <row r="18" spans="8:27">
      <c r="H18" t="s">
        <v>418</v>
      </c>
      <c r="I18" s="149">
        <f>T45/E5</f>
        <v>8.5204830523678712E-4</v>
      </c>
    </row>
    <row r="19" spans="8:27">
      <c r="I19" s="149"/>
    </row>
    <row r="20" spans="8:27">
      <c r="H20" s="266" t="s">
        <v>414</v>
      </c>
      <c r="I20" s="267">
        <f>I18*47430+I16</f>
        <v>51.850258048380134</v>
      </c>
      <c r="K20">
        <f>I20/47430</f>
        <v>1.0931954047729312E-3</v>
      </c>
    </row>
    <row r="22" spans="8:27" ht="18.75">
      <c r="H22" s="260" t="s">
        <v>499</v>
      </c>
    </row>
    <row r="23" spans="8:27" ht="38.25" customHeight="1">
      <c r="H23" s="352" t="s">
        <v>370</v>
      </c>
      <c r="I23" s="352"/>
      <c r="J23" s="352"/>
      <c r="K23" s="352"/>
      <c r="L23" s="352"/>
      <c r="M23" s="352"/>
      <c r="N23" s="352"/>
      <c r="O23" s="352"/>
      <c r="P23" s="352"/>
      <c r="Q23" s="352"/>
      <c r="R23" s="352"/>
      <c r="S23" s="352"/>
      <c r="T23" s="352"/>
      <c r="U23" s="352"/>
      <c r="V23" s="352"/>
      <c r="W23" s="352"/>
      <c r="X23" s="352"/>
      <c r="Y23" s="352"/>
      <c r="Z23" s="352"/>
      <c r="AA23" s="352"/>
    </row>
    <row r="24" spans="8:27">
      <c r="H24" s="198"/>
    </row>
    <row r="25" spans="8:27">
      <c r="H25" s="198"/>
    </row>
    <row r="27" spans="8:27">
      <c r="H27" s="198" t="s">
        <v>371</v>
      </c>
    </row>
    <row r="28" spans="8:27">
      <c r="H28" s="198"/>
      <c r="N28" t="s">
        <v>378</v>
      </c>
      <c r="O28" s="215">
        <f>E7</f>
        <v>87.458333333333329</v>
      </c>
    </row>
    <row r="29" spans="8:27">
      <c r="H29" s="198"/>
    </row>
    <row r="31" spans="8:27">
      <c r="H31" s="216" t="s">
        <v>419</v>
      </c>
    </row>
    <row r="33" spans="8:27" ht="26.25" customHeight="1">
      <c r="H33" s="352" t="s">
        <v>372</v>
      </c>
      <c r="I33" s="352"/>
      <c r="J33" s="352"/>
      <c r="K33" s="352"/>
      <c r="L33" s="352"/>
      <c r="M33" s="352"/>
      <c r="N33" s="352"/>
      <c r="O33" s="352"/>
      <c r="P33" s="352"/>
      <c r="Q33" s="352"/>
      <c r="R33" s="352"/>
      <c r="S33" s="352"/>
      <c r="T33" s="352"/>
      <c r="U33" s="352"/>
      <c r="V33" s="352"/>
      <c r="W33" s="352"/>
      <c r="X33" s="352"/>
      <c r="Y33" s="352"/>
      <c r="Z33" s="352"/>
      <c r="AA33" s="352"/>
    </row>
    <row r="35" spans="8:27">
      <c r="H35" s="352" t="s">
        <v>373</v>
      </c>
      <c r="I35" s="352"/>
      <c r="J35" s="352"/>
      <c r="K35" s="352"/>
      <c r="L35" s="352"/>
      <c r="M35" s="352"/>
      <c r="N35" s="352"/>
      <c r="O35" s="352"/>
      <c r="P35" s="352"/>
      <c r="Q35" s="352"/>
      <c r="R35" s="352"/>
      <c r="S35" s="352"/>
      <c r="T35" s="352"/>
      <c r="U35" s="352"/>
      <c r="V35" s="352"/>
      <c r="W35" s="352"/>
      <c r="X35" s="352"/>
      <c r="Y35" s="352"/>
      <c r="Z35" s="352"/>
      <c r="AA35" s="352"/>
    </row>
    <row r="37" spans="8:27">
      <c r="H37" s="352" t="s">
        <v>374</v>
      </c>
      <c r="I37" s="352"/>
      <c r="J37" s="352"/>
      <c r="K37" s="352"/>
      <c r="L37" s="352"/>
      <c r="M37" s="352"/>
      <c r="N37" s="352"/>
      <c r="O37" s="352"/>
      <c r="P37" s="352"/>
      <c r="Q37" s="352"/>
      <c r="R37" s="352"/>
      <c r="S37" s="352"/>
      <c r="T37" s="352"/>
      <c r="U37" s="352"/>
      <c r="V37" s="352"/>
      <c r="W37" s="352"/>
      <c r="X37" s="352"/>
      <c r="Y37" s="352"/>
      <c r="Z37" s="352"/>
      <c r="AA37" s="352"/>
    </row>
    <row r="39" spans="8:27">
      <c r="K39" s="200" t="s">
        <v>382</v>
      </c>
      <c r="L39" s="200" t="s">
        <v>383</v>
      </c>
      <c r="M39" s="200" t="s">
        <v>384</v>
      </c>
      <c r="N39" s="200" t="s">
        <v>385</v>
      </c>
      <c r="O39" s="200" t="s">
        <v>386</v>
      </c>
      <c r="P39" s="200" t="s">
        <v>387</v>
      </c>
    </row>
    <row r="40" spans="8:27">
      <c r="K40" s="200">
        <v>-7.8595178299999997</v>
      </c>
      <c r="L40" s="200">
        <v>1.84408259</v>
      </c>
      <c r="M40" s="200">
        <v>-11.7866497</v>
      </c>
      <c r="N40" s="200">
        <v>22.680741099999999</v>
      </c>
      <c r="O40" s="200">
        <v>-15.9618719</v>
      </c>
      <c r="P40" s="200">
        <v>1.80122502</v>
      </c>
    </row>
    <row r="41" spans="8:27">
      <c r="K41" s="200" t="s">
        <v>376</v>
      </c>
      <c r="L41" s="200" t="s">
        <v>388</v>
      </c>
      <c r="M41" s="200" t="s">
        <v>389</v>
      </c>
      <c r="N41" s="200" t="s">
        <v>390</v>
      </c>
      <c r="O41" s="200" t="s">
        <v>391</v>
      </c>
      <c r="P41" s="200" t="s">
        <v>392</v>
      </c>
    </row>
    <row r="42" spans="8:27">
      <c r="H42" s="200" t="s">
        <v>376</v>
      </c>
      <c r="I42" s="200">
        <f>1-(E10/647.096)</f>
        <v>0.52998702121707053</v>
      </c>
      <c r="K42" s="200">
        <f>I42</f>
        <v>0.52998702121707053</v>
      </c>
      <c r="L42" s="200">
        <f>I42^1.5</f>
        <v>0.3858316511737428</v>
      </c>
      <c r="M42" s="200">
        <f>I42^3</f>
        <v>0.14886606304745675</v>
      </c>
      <c r="N42" s="200">
        <f>I42^3.5</f>
        <v>0.10837480279693444</v>
      </c>
      <c r="O42" s="200">
        <f>I42^4</f>
        <v>7.8897081314834222E-2</v>
      </c>
      <c r="P42" s="200">
        <f>I42^7.5</f>
        <v>8.5504556287488587E-3</v>
      </c>
    </row>
    <row r="43" spans="8:27">
      <c r="H43" s="200" t="s">
        <v>381</v>
      </c>
      <c r="I43" s="200">
        <f>647.096/E10</f>
        <v>2.1276008219803639</v>
      </c>
      <c r="K43" s="200" t="s">
        <v>399</v>
      </c>
      <c r="L43" s="200" t="s">
        <v>400</v>
      </c>
      <c r="M43" s="200" t="s">
        <v>401</v>
      </c>
      <c r="N43" s="200" t="s">
        <v>402</v>
      </c>
      <c r="O43" s="200" t="s">
        <v>403</v>
      </c>
      <c r="P43" s="200" t="s">
        <v>404</v>
      </c>
      <c r="Q43" s="200" t="s">
        <v>393</v>
      </c>
      <c r="R43" s="200" t="s">
        <v>394</v>
      </c>
      <c r="S43" s="200" t="s">
        <v>395</v>
      </c>
      <c r="T43" s="261" t="s">
        <v>396</v>
      </c>
    </row>
    <row r="44" spans="8:27">
      <c r="H44" s="200" t="s">
        <v>397</v>
      </c>
      <c r="I44" s="200">
        <f>22.064</f>
        <v>22.064</v>
      </c>
      <c r="J44" s="157" t="s">
        <v>398</v>
      </c>
      <c r="K44" s="200">
        <f>K40*K42</f>
        <v>-4.1654424429241539</v>
      </c>
      <c r="L44" s="200">
        <f t="shared" ref="L44:P44" si="0">L40*L42</f>
        <v>0.71150543060045213</v>
      </c>
      <c r="M44" s="200">
        <f t="shared" si="0"/>
        <v>-1.7546321373584872</v>
      </c>
      <c r="N44" s="200">
        <f t="shared" si="0"/>
        <v>2.458020844000826</v>
      </c>
      <c r="O44" s="200">
        <f t="shared" si="0"/>
        <v>-1.2593451052312674</v>
      </c>
      <c r="P44" s="200">
        <f t="shared" si="0"/>
        <v>1.5401294610902276E-2</v>
      </c>
      <c r="Q44" s="200">
        <f>K44+L44+M44+N44+O44+P44</f>
        <v>-3.994492116301728</v>
      </c>
      <c r="R44" s="200">
        <f>Q44*I43</f>
        <v>-8.4986847100376401</v>
      </c>
      <c r="S44" s="154">
        <f>EXP(R44)</f>
        <v>2.0373616499013653E-4</v>
      </c>
      <c r="T44" s="262">
        <f>S44*I44</f>
        <v>4.4952347443423723E-3</v>
      </c>
      <c r="U44" s="157" t="s">
        <v>398</v>
      </c>
    </row>
    <row r="45" spans="8:27">
      <c r="H45" s="200" t="s">
        <v>397</v>
      </c>
      <c r="I45" s="200">
        <f>I44*145</f>
        <v>3199.28</v>
      </c>
      <c r="J45" s="157" t="s">
        <v>57</v>
      </c>
      <c r="T45" s="263">
        <f>T44*145</f>
        <v>0.65180903792964395</v>
      </c>
      <c r="U45" s="157" t="s">
        <v>57</v>
      </c>
    </row>
    <row r="48" spans="8:27" ht="24" customHeight="1">
      <c r="H48" s="352" t="s">
        <v>375</v>
      </c>
      <c r="I48" s="352"/>
      <c r="J48" s="352"/>
      <c r="K48" s="352"/>
      <c r="L48" s="352"/>
      <c r="M48" s="352"/>
      <c r="N48" s="352"/>
      <c r="O48" s="352"/>
      <c r="P48" s="352"/>
      <c r="Q48" s="352"/>
      <c r="R48" s="352"/>
      <c r="S48" s="352"/>
      <c r="T48" s="352"/>
      <c r="U48" s="352"/>
      <c r="V48" s="352"/>
      <c r="W48" s="352"/>
      <c r="X48" s="352"/>
      <c r="Y48" s="352"/>
      <c r="Z48" s="352"/>
      <c r="AA48" s="352"/>
    </row>
    <row r="49" spans="8:20">
      <c r="H49" s="198"/>
    </row>
    <row r="50" spans="8:20">
      <c r="H50" s="198"/>
    </row>
    <row r="51" spans="8:20">
      <c r="H51" s="197"/>
    </row>
    <row r="52" spans="8:20">
      <c r="H52" s="197"/>
    </row>
    <row r="53" spans="8:20">
      <c r="H53" s="197"/>
    </row>
    <row r="57" spans="8:20">
      <c r="H57" s="266" t="s">
        <v>501</v>
      </c>
      <c r="I57" s="266">
        <f>47430*T45/E5</f>
        <v>40.412651117380811</v>
      </c>
      <c r="J57" s="266" t="s">
        <v>502</v>
      </c>
    </row>
    <row r="60" spans="8:20" ht="18.75">
      <c r="H60" s="260" t="s">
        <v>421</v>
      </c>
    </row>
    <row r="62" spans="8:20">
      <c r="H62" t="s">
        <v>422</v>
      </c>
    </row>
    <row r="64" spans="8:20">
      <c r="H64" t="s">
        <v>430</v>
      </c>
      <c r="T64" s="199" t="s">
        <v>432</v>
      </c>
    </row>
    <row r="66" spans="8:20">
      <c r="H66" t="s">
        <v>429</v>
      </c>
      <c r="L66" t="s">
        <v>428</v>
      </c>
      <c r="O66" t="s">
        <v>443</v>
      </c>
      <c r="T66" t="s">
        <v>431</v>
      </c>
    </row>
    <row r="68" spans="8:20">
      <c r="H68" t="s">
        <v>424</v>
      </c>
    </row>
    <row r="70" spans="8:20">
      <c r="H70" s="148" t="s">
        <v>433</v>
      </c>
      <c r="I70" s="148" t="s">
        <v>434</v>
      </c>
      <c r="J70" s="148" t="s">
        <v>435</v>
      </c>
      <c r="K70" s="148" t="s">
        <v>436</v>
      </c>
      <c r="L70" s="148" t="s">
        <v>437</v>
      </c>
      <c r="M70" s="148" t="s">
        <v>438</v>
      </c>
      <c r="N70" s="148" t="s">
        <v>439</v>
      </c>
      <c r="O70" s="148" t="s">
        <v>440</v>
      </c>
    </row>
    <row r="71" spans="8:20">
      <c r="H71" s="148" t="s">
        <v>441</v>
      </c>
      <c r="I71" s="148" t="s">
        <v>441</v>
      </c>
      <c r="J71" s="148" t="s">
        <v>12</v>
      </c>
      <c r="K71" s="148" t="s">
        <v>442</v>
      </c>
      <c r="L71" s="148"/>
      <c r="M71" s="148"/>
      <c r="N71" s="148" t="s">
        <v>442</v>
      </c>
      <c r="O71" s="148"/>
    </row>
    <row r="72" spans="8:20">
      <c r="H72" s="148">
        <v>-40</v>
      </c>
      <c r="I72" s="148">
        <v>32</v>
      </c>
      <c r="J72" s="148">
        <v>163</v>
      </c>
      <c r="K72" s="148">
        <v>210</v>
      </c>
      <c r="L72" s="148">
        <v>67</v>
      </c>
      <c r="M72" s="148">
        <v>0.5464</v>
      </c>
      <c r="N72" s="148">
        <v>211</v>
      </c>
      <c r="O72" s="148">
        <v>79</v>
      </c>
    </row>
    <row r="73" spans="8:20">
      <c r="H73" s="148">
        <v>32</v>
      </c>
      <c r="I73" s="148">
        <v>95</v>
      </c>
      <c r="J73" s="148">
        <v>1011</v>
      </c>
      <c r="K73" s="148">
        <v>303</v>
      </c>
      <c r="L73" s="148">
        <v>83</v>
      </c>
      <c r="M73" s="148">
        <v>2.3921999999999999</v>
      </c>
      <c r="N73" s="148">
        <v>308</v>
      </c>
      <c r="O73" s="148">
        <v>97</v>
      </c>
    </row>
    <row r="74" spans="8:20">
      <c r="H74" s="148">
        <v>95</v>
      </c>
      <c r="I74" s="148">
        <v>158</v>
      </c>
      <c r="J74" s="148">
        <v>8012</v>
      </c>
      <c r="K74" s="148">
        <v>444</v>
      </c>
      <c r="L74" s="148">
        <v>108</v>
      </c>
      <c r="M74" s="148">
        <v>5.1482999999999999</v>
      </c>
      <c r="N74" s="148">
        <v>367</v>
      </c>
      <c r="O74" s="148">
        <v>108</v>
      </c>
    </row>
    <row r="75" spans="8:20">
      <c r="H75" s="148">
        <v>158</v>
      </c>
      <c r="I75" s="148">
        <v>212</v>
      </c>
      <c r="J75" s="148">
        <v>8101</v>
      </c>
      <c r="K75" s="148">
        <v>450</v>
      </c>
      <c r="L75" s="148">
        <v>110</v>
      </c>
      <c r="M75" s="148">
        <v>1.5610999999999999</v>
      </c>
      <c r="N75" s="148">
        <v>227</v>
      </c>
      <c r="O75" s="148">
        <v>59.4</v>
      </c>
    </row>
    <row r="76" spans="8:20">
      <c r="H76" s="148">
        <v>41</v>
      </c>
      <c r="I76" s="148">
        <v>149</v>
      </c>
      <c r="J76" s="148">
        <v>3698</v>
      </c>
      <c r="K76" s="148">
        <v>386</v>
      </c>
      <c r="L76" s="148">
        <v>98</v>
      </c>
      <c r="M76" s="148">
        <v>5.6269</v>
      </c>
      <c r="N76" s="148">
        <v>376</v>
      </c>
      <c r="O76" s="148">
        <v>110</v>
      </c>
    </row>
    <row r="78" spans="8:20">
      <c r="H78" t="s">
        <v>423</v>
      </c>
    </row>
    <row r="80" spans="8:20">
      <c r="H80" t="s">
        <v>425</v>
      </c>
    </row>
    <row r="81" spans="8:19">
      <c r="H81" t="s">
        <v>427</v>
      </c>
    </row>
    <row r="84" spans="8:19">
      <c r="H84" t="s">
        <v>371</v>
      </c>
    </row>
    <row r="87" spans="8:19">
      <c r="H87" t="s">
        <v>426</v>
      </c>
    </row>
    <row r="89" spans="8:19">
      <c r="H89" s="148" t="s">
        <v>433</v>
      </c>
      <c r="I89" s="148" t="s">
        <v>434</v>
      </c>
      <c r="J89" s="148" t="s">
        <v>444</v>
      </c>
      <c r="K89" s="148" t="s">
        <v>445</v>
      </c>
      <c r="L89" s="148" t="s">
        <v>446</v>
      </c>
      <c r="M89" s="148" t="s">
        <v>447</v>
      </c>
      <c r="N89" s="148" t="s">
        <v>448</v>
      </c>
      <c r="O89" s="148" t="s">
        <v>449</v>
      </c>
      <c r="P89" s="148" t="s">
        <v>450</v>
      </c>
      <c r="Q89" s="148" t="s">
        <v>451</v>
      </c>
      <c r="R89" s="148" t="s">
        <v>452</v>
      </c>
      <c r="S89" s="148" t="s">
        <v>453</v>
      </c>
    </row>
    <row r="90" spans="8:19">
      <c r="H90" s="148" t="s">
        <v>441</v>
      </c>
      <c r="I90" s="148" t="s">
        <v>441</v>
      </c>
      <c r="J90" s="148"/>
      <c r="L90" s="148" t="s">
        <v>442</v>
      </c>
      <c r="M90" s="148"/>
      <c r="O90" s="148"/>
      <c r="P90" s="148"/>
      <c r="Q90" s="148" t="s">
        <v>442</v>
      </c>
      <c r="R90" s="148"/>
      <c r="S90" s="148"/>
    </row>
    <row r="91" spans="8:19">
      <c r="H91" s="148">
        <v>-40</v>
      </c>
      <c r="I91" s="148">
        <v>32</v>
      </c>
      <c r="J91" s="213">
        <v>1.1611100000000001</v>
      </c>
      <c r="K91" s="213">
        <v>5.4149999999999997E-2</v>
      </c>
      <c r="L91" s="213">
        <v>1.15E-3</v>
      </c>
      <c r="M91" s="218">
        <v>1.4800000000000001E-5</v>
      </c>
      <c r="N91" s="218">
        <v>1.01E-7</v>
      </c>
      <c r="O91" s="213">
        <v>1.524E-2</v>
      </c>
      <c r="P91" s="213">
        <v>5.1000000000000004E-4</v>
      </c>
      <c r="Q91" s="219">
        <v>7.9400000000000002E-6</v>
      </c>
      <c r="R91" s="218">
        <v>6.2200000000000001E-8</v>
      </c>
      <c r="S91" s="218">
        <v>0</v>
      </c>
    </row>
    <row r="92" spans="8:19">
      <c r="H92" s="148">
        <v>32</v>
      </c>
      <c r="I92" s="148">
        <v>95</v>
      </c>
      <c r="J92" s="213">
        <v>5.28</v>
      </c>
      <c r="K92" s="213">
        <v>-0.27517000000000003</v>
      </c>
      <c r="L92" s="213">
        <v>1.0699999999999999E-2</v>
      </c>
      <c r="M92" s="218">
        <v>-1.07E-4</v>
      </c>
      <c r="N92" s="218">
        <v>7.2099999999999996E-7</v>
      </c>
      <c r="O92" s="213">
        <v>1.39E-3</v>
      </c>
      <c r="P92" s="213">
        <v>1.3699999999999999E-3</v>
      </c>
      <c r="Q92" s="218">
        <v>-1.0200000000000001E-5</v>
      </c>
      <c r="R92" s="218">
        <v>2.05E-7</v>
      </c>
      <c r="S92" s="218">
        <v>0</v>
      </c>
    </row>
    <row r="93" spans="8:19">
      <c r="H93" s="148">
        <v>95</v>
      </c>
      <c r="I93" s="148">
        <v>158</v>
      </c>
      <c r="J93" s="213">
        <v>-191.0968</v>
      </c>
      <c r="K93" s="213">
        <v>5.7596299999999996</v>
      </c>
      <c r="L93" s="213">
        <v>-5.8099999999999999E-2</v>
      </c>
      <c r="M93" s="218">
        <v>2.4600000000000002E-4</v>
      </c>
      <c r="N93" s="218">
        <v>0</v>
      </c>
      <c r="O93" s="213">
        <v>-0.39489999999999997</v>
      </c>
      <c r="P93" s="213">
        <v>1.141E-2</v>
      </c>
      <c r="Q93" s="218">
        <v>-9.5199999999999997E-5</v>
      </c>
      <c r="R93" s="218">
        <v>4.46E-7</v>
      </c>
      <c r="S93" s="218">
        <v>0</v>
      </c>
    </row>
    <row r="94" spans="8:19">
      <c r="H94" s="148">
        <v>158</v>
      </c>
      <c r="I94" s="148">
        <v>212</v>
      </c>
      <c r="J94" s="213">
        <v>-857</v>
      </c>
      <c r="K94" s="213">
        <v>17.8355</v>
      </c>
      <c r="L94" s="213">
        <v>-0.13117000000000001</v>
      </c>
      <c r="M94" s="218">
        <v>3.9300000000000001E-4</v>
      </c>
      <c r="N94" s="218">
        <v>0</v>
      </c>
      <c r="O94" s="213">
        <v>163.125</v>
      </c>
      <c r="P94" s="213">
        <v>-3.6191</v>
      </c>
      <c r="Q94" s="218">
        <v>2.989E-2</v>
      </c>
      <c r="R94" s="218">
        <v>-1.1E-4</v>
      </c>
      <c r="S94" s="218">
        <v>1.4700000000000001E-7</v>
      </c>
    </row>
    <row r="95" spans="8:19">
      <c r="H95" s="148">
        <v>41</v>
      </c>
      <c r="I95" s="148">
        <v>149</v>
      </c>
      <c r="J95" s="213">
        <v>13.33</v>
      </c>
      <c r="K95" s="213">
        <v>-0.60470999999999997</v>
      </c>
      <c r="L95" s="213">
        <v>1.545E-2</v>
      </c>
      <c r="M95" s="218">
        <v>-1.26E-4</v>
      </c>
      <c r="N95" s="218">
        <v>6.9800000000000003E-7</v>
      </c>
      <c r="O95" s="213">
        <v>-1.12E-2</v>
      </c>
      <c r="P95" s="213">
        <v>1.92E-3</v>
      </c>
      <c r="Q95" s="218">
        <v>-1.7799999999999999E-5</v>
      </c>
      <c r="R95" s="218">
        <v>2.3799999999999999E-7</v>
      </c>
      <c r="S95" s="218">
        <v>0</v>
      </c>
    </row>
    <row r="98" spans="8:19">
      <c r="I98" s="148" t="s">
        <v>287</v>
      </c>
      <c r="J98" s="148" t="s">
        <v>444</v>
      </c>
      <c r="K98" s="148" t="s">
        <v>445</v>
      </c>
      <c r="L98" s="148" t="s">
        <v>446</v>
      </c>
      <c r="M98" s="148" t="s">
        <v>447</v>
      </c>
      <c r="N98" s="148" t="s">
        <v>448</v>
      </c>
      <c r="O98" s="148" t="s">
        <v>449</v>
      </c>
      <c r="P98" s="148" t="s">
        <v>450</v>
      </c>
      <c r="Q98" s="148" t="s">
        <v>451</v>
      </c>
      <c r="R98" s="148" t="s">
        <v>452</v>
      </c>
      <c r="S98" s="148" t="s">
        <v>453</v>
      </c>
    </row>
    <row r="99" spans="8:19">
      <c r="I99" s="220">
        <f>E7</f>
        <v>87.458333333333329</v>
      </c>
      <c r="J99" s="148">
        <f t="shared" ref="J99:S99" si="1">IF($E$7&lt;95,J92,J93)</f>
        <v>5.28</v>
      </c>
      <c r="K99" s="148">
        <f t="shared" si="1"/>
        <v>-0.27517000000000003</v>
      </c>
      <c r="L99" s="148">
        <f t="shared" si="1"/>
        <v>1.0699999999999999E-2</v>
      </c>
      <c r="M99" s="148">
        <f t="shared" si="1"/>
        <v>-1.07E-4</v>
      </c>
      <c r="N99" s="148">
        <f t="shared" si="1"/>
        <v>7.2099999999999996E-7</v>
      </c>
      <c r="O99" s="148">
        <f t="shared" si="1"/>
        <v>1.39E-3</v>
      </c>
      <c r="P99" s="148">
        <f t="shared" si="1"/>
        <v>1.3699999999999999E-3</v>
      </c>
      <c r="Q99" s="148">
        <f t="shared" si="1"/>
        <v>-1.0200000000000001E-5</v>
      </c>
      <c r="R99" s="148">
        <f t="shared" si="1"/>
        <v>2.05E-7</v>
      </c>
      <c r="S99" s="148">
        <f t="shared" si="1"/>
        <v>0</v>
      </c>
    </row>
    <row r="100" spans="8:19">
      <c r="I100" s="148" t="s">
        <v>112</v>
      </c>
      <c r="J100" s="148">
        <f>J99+K99*$I$99+L99*$I$99^2+M99*$I$99^3+N99*$I$99^4</f>
        <v>33.66192761698349</v>
      </c>
    </row>
    <row r="101" spans="8:19">
      <c r="I101" s="148" t="s">
        <v>113</v>
      </c>
      <c r="J101" s="148">
        <f>O99+P99*$I$99+Q99*$I$99^2+R99*$I$99^3+S99*$I$99^4</f>
        <v>0.18032641033673319</v>
      </c>
    </row>
    <row r="103" spans="8:19">
      <c r="H103" s="266" t="s">
        <v>493</v>
      </c>
      <c r="I103" s="266"/>
      <c r="J103" s="266"/>
      <c r="K103" s="266">
        <f>((J100/(E5/14.7))+H938)*108</f>
        <v>69.859248733409302</v>
      </c>
    </row>
  </sheetData>
  <mergeCells count="5">
    <mergeCell ref="H23:AA23"/>
    <mergeCell ref="H33:AA33"/>
    <mergeCell ref="H35:AA35"/>
    <mergeCell ref="H37:AA37"/>
    <mergeCell ref="H48:AA4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5" tint="0.39997558519241921"/>
    <pageSetUpPr fitToPage="1"/>
  </sheetPr>
  <dimension ref="C36:J96"/>
  <sheetViews>
    <sheetView zoomScale="71" zoomScaleNormal="71" workbookViewId="0"/>
  </sheetViews>
  <sheetFormatPr defaultColWidth="9.140625" defaultRowHeight="15"/>
  <cols>
    <col min="1" max="16384" width="9.140625" style="1"/>
  </cols>
  <sheetData>
    <row r="36" spans="7:10">
      <c r="G36" s="1" t="s">
        <v>454</v>
      </c>
    </row>
    <row r="37" spans="7:10">
      <c r="G37" s="1" t="s">
        <v>455</v>
      </c>
      <c r="I37" s="221">
        <f>Drawing!L37</f>
        <v>5.2242199537777232</v>
      </c>
      <c r="J37" s="222" t="s">
        <v>50</v>
      </c>
    </row>
    <row r="38" spans="7:10">
      <c r="G38" s="1" t="s">
        <v>456</v>
      </c>
      <c r="I38" s="221">
        <f>Drawing!Q37</f>
        <v>5.2500951157301072</v>
      </c>
      <c r="J38" s="222" t="s">
        <v>50</v>
      </c>
    </row>
    <row r="90" spans="3:4">
      <c r="C90" s="1">
        <v>0</v>
      </c>
      <c r="D90" s="1">
        <v>0</v>
      </c>
    </row>
    <row r="91" spans="3:4">
      <c r="C91" s="1">
        <v>3.4</v>
      </c>
      <c r="D91" s="1">
        <v>1000</v>
      </c>
    </row>
    <row r="92" spans="3:4">
      <c r="C92" s="1">
        <v>4.5999999999999996</v>
      </c>
      <c r="D92" s="1">
        <v>2000</v>
      </c>
    </row>
    <row r="93" spans="3:4">
      <c r="C93" s="1">
        <v>5.4</v>
      </c>
      <c r="D93" s="1">
        <v>3000</v>
      </c>
    </row>
    <row r="94" spans="3:4">
      <c r="C94" s="1">
        <v>6.1</v>
      </c>
      <c r="D94" s="1">
        <v>4000</v>
      </c>
    </row>
    <row r="95" spans="3:4">
      <c r="C95" s="1">
        <v>6.7</v>
      </c>
      <c r="D95" s="1">
        <v>5000</v>
      </c>
    </row>
    <row r="96" spans="3:4">
      <c r="C96" s="1">
        <v>7.3</v>
      </c>
      <c r="D96" s="1">
        <v>6000</v>
      </c>
    </row>
  </sheetData>
  <printOptions horizontalCentered="1" verticalCentered="1"/>
  <pageMargins left="0.2" right="0.2" top="0.5" bottom="0.5" header="0.3" footer="0.3"/>
  <pageSetup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499984740745262"/>
    <pageSetUpPr fitToPage="1"/>
  </sheetPr>
  <dimension ref="B1:AB57"/>
  <sheetViews>
    <sheetView tabSelected="1" zoomScale="68" zoomScaleNormal="68" workbookViewId="0">
      <selection activeCell="W41" sqref="W41"/>
    </sheetView>
  </sheetViews>
  <sheetFormatPr defaultColWidth="9.140625" defaultRowHeight="15"/>
  <cols>
    <col min="1" max="1" width="3.7109375" style="1" customWidth="1"/>
    <col min="2" max="2" width="11.28515625" style="1" customWidth="1"/>
    <col min="3" max="3" width="12.5703125" style="1" customWidth="1"/>
    <col min="4" max="5" width="9.140625" style="1"/>
    <col min="6" max="6" width="10.7109375" style="1" customWidth="1"/>
    <col min="7" max="7" width="10.28515625" style="1" customWidth="1"/>
    <col min="8" max="8" width="12.7109375" style="1" customWidth="1"/>
    <col min="9" max="9" width="11.5703125" style="1" customWidth="1"/>
    <col min="10" max="10" width="12.5703125" style="1" customWidth="1"/>
    <col min="11" max="11" width="11.28515625" style="1" customWidth="1"/>
    <col min="12" max="12" width="11.140625" style="1" customWidth="1"/>
    <col min="13" max="13" width="10.28515625" style="1" customWidth="1"/>
    <col min="14" max="14" width="12" style="1" bestFit="1" customWidth="1"/>
    <col min="15" max="15" width="9.140625" style="1"/>
    <col min="16" max="16" width="10.42578125" style="1" customWidth="1"/>
    <col min="17" max="17" width="9.7109375" style="1" customWidth="1"/>
    <col min="18" max="18" width="9.140625" style="1" customWidth="1"/>
    <col min="19" max="19" width="10.28515625" style="1" customWidth="1"/>
    <col min="20" max="20" width="10.140625" style="1" customWidth="1"/>
    <col min="21" max="21" width="9.85546875" style="1" customWidth="1"/>
    <col min="22" max="22" width="9.28515625" style="1" customWidth="1"/>
    <col min="23" max="23" width="9.140625" style="1" customWidth="1"/>
    <col min="24" max="25" width="9.140625" style="1"/>
    <col min="26" max="29" width="9" style="1" customWidth="1"/>
    <col min="30" max="16384" width="9.140625" style="1"/>
  </cols>
  <sheetData>
    <row r="1" spans="2:28" ht="18.75">
      <c r="K1" s="138" t="s">
        <v>458</v>
      </c>
    </row>
    <row r="4" spans="2:28">
      <c r="B4" s="38" t="s">
        <v>107</v>
      </c>
    </row>
    <row r="5" spans="2:28">
      <c r="G5" s="1" t="s">
        <v>228</v>
      </c>
      <c r="M5" s="1" t="s">
        <v>12</v>
      </c>
      <c r="T5" s="1" t="s">
        <v>128</v>
      </c>
      <c r="Y5" s="1" t="s">
        <v>181</v>
      </c>
    </row>
    <row r="6" spans="2:28">
      <c r="U6" s="1" t="s">
        <v>248</v>
      </c>
    </row>
    <row r="7" spans="2:28">
      <c r="B7" s="241" t="s">
        <v>494</v>
      </c>
      <c r="C7" s="242"/>
      <c r="D7" s="243"/>
    </row>
    <row r="8" spans="2:28">
      <c r="B8" s="34">
        <f>Compositions!I9</f>
        <v>1.1994883333333333E-2</v>
      </c>
      <c r="C8" s="1" t="s">
        <v>136</v>
      </c>
      <c r="U8" s="1" t="s">
        <v>12</v>
      </c>
    </row>
    <row r="9" spans="2:28">
      <c r="B9" s="34">
        <f>Compositions!I10</f>
        <v>5.5579379999999991E-2</v>
      </c>
      <c r="C9" s="1" t="s">
        <v>137</v>
      </c>
      <c r="U9" s="128">
        <v>5</v>
      </c>
      <c r="V9" s="1" t="s">
        <v>274</v>
      </c>
      <c r="Y9" s="1" t="s">
        <v>249</v>
      </c>
    </row>
    <row r="10" spans="2:28">
      <c r="B10" s="34">
        <v>9.9999999999999995E-7</v>
      </c>
      <c r="C10" s="1" t="s">
        <v>138</v>
      </c>
      <c r="G10" s="128">
        <v>6</v>
      </c>
      <c r="H10" s="1" t="s">
        <v>274</v>
      </c>
      <c r="J10" s="1" t="s">
        <v>12</v>
      </c>
      <c r="U10" s="128">
        <v>6</v>
      </c>
      <c r="V10" s="1" t="s">
        <v>701</v>
      </c>
    </row>
    <row r="11" spans="2:28">
      <c r="B11" s="34">
        <f>Compositions!I12</f>
        <v>0.7483542133333333</v>
      </c>
      <c r="C11" s="1" t="s">
        <v>139</v>
      </c>
      <c r="G11" s="128">
        <v>10</v>
      </c>
      <c r="H11" s="1" t="s">
        <v>701</v>
      </c>
    </row>
    <row r="12" spans="2:28">
      <c r="B12" s="34">
        <f>Compositions!I13</f>
        <v>0.10365652333333332</v>
      </c>
      <c r="C12" s="1" t="s">
        <v>148</v>
      </c>
      <c r="Y12" s="1" t="s">
        <v>1</v>
      </c>
    </row>
    <row r="13" spans="2:28">
      <c r="B13" s="34">
        <f>Compositions!I14</f>
        <v>4.9144E-2</v>
      </c>
      <c r="C13" s="1" t="s">
        <v>140</v>
      </c>
    </row>
    <row r="14" spans="2:28">
      <c r="B14" s="34">
        <f>Compositions!I15</f>
        <v>6.4696433333333329E-3</v>
      </c>
      <c r="C14" s="1" t="s">
        <v>141</v>
      </c>
    </row>
    <row r="15" spans="2:28">
      <c r="B15" s="34">
        <f>Compositions!I16</f>
        <v>1.4280399999999999E-2</v>
      </c>
      <c r="C15" s="1" t="s">
        <v>142</v>
      </c>
      <c r="AB15" s="1" t="s">
        <v>12</v>
      </c>
    </row>
    <row r="16" spans="2:28">
      <c r="B16" s="34">
        <f>Compositions!I17</f>
        <v>3.3084933333333336E-3</v>
      </c>
      <c r="C16" s="1" t="s">
        <v>143</v>
      </c>
      <c r="AA16" s="1" t="s">
        <v>12</v>
      </c>
      <c r="AB16" s="1" t="s">
        <v>12</v>
      </c>
    </row>
    <row r="17" spans="2:21">
      <c r="B17" s="34">
        <f>Compositions!I18</f>
        <v>3.4617033333333332E-3</v>
      </c>
      <c r="C17" s="1" t="s">
        <v>144</v>
      </c>
    </row>
    <row r="18" spans="2:21">
      <c r="B18" s="34">
        <f>Compositions!I19</f>
        <v>3.0104900000000306E-3</v>
      </c>
      <c r="C18" s="1" t="s">
        <v>145</v>
      </c>
    </row>
    <row r="19" spans="2:21">
      <c r="B19" s="34">
        <f>Compositions!I20</f>
        <v>4.9864333333333327E-4</v>
      </c>
      <c r="C19" s="1" t="s">
        <v>243</v>
      </c>
      <c r="M19" s="1" t="s">
        <v>129</v>
      </c>
    </row>
    <row r="20" spans="2:21">
      <c r="B20" s="34">
        <f>Compositions!I21</f>
        <v>2.0944666666666668E-4</v>
      </c>
      <c r="C20" s="1" t="s">
        <v>244</v>
      </c>
    </row>
    <row r="21" spans="2:21">
      <c r="B21" s="34">
        <f>Compositions!I22</f>
        <v>7.3000000000000004E-6</v>
      </c>
      <c r="C21" s="1" t="s">
        <v>245</v>
      </c>
    </row>
    <row r="22" spans="2:21">
      <c r="B22" s="34">
        <f>Compositions!I23</f>
        <v>2.4879999999999996E-5</v>
      </c>
      <c r="C22" s="1" t="s">
        <v>246</v>
      </c>
      <c r="U22" s="32"/>
    </row>
    <row r="23" spans="2:21">
      <c r="B23" s="34">
        <f>Compositions!I24</f>
        <v>2.4879999999999996E-5</v>
      </c>
      <c r="C23" s="1" t="s">
        <v>146</v>
      </c>
    </row>
    <row r="24" spans="2:21">
      <c r="B24" s="10">
        <f>SUM(B8:B23)</f>
        <v>1.0000258799999999</v>
      </c>
      <c r="C24" s="1" t="s">
        <v>147</v>
      </c>
      <c r="G24" s="1" t="s">
        <v>12</v>
      </c>
    </row>
    <row r="25" spans="2:21">
      <c r="B25" s="2"/>
    </row>
    <row r="26" spans="2:21">
      <c r="B26" s="11">
        <f>'Prop Est Flash 1'!U25</f>
        <v>5.2242199537777232</v>
      </c>
      <c r="C26" s="1" t="s">
        <v>268</v>
      </c>
      <c r="J26" s="1" t="s">
        <v>227</v>
      </c>
      <c r="N26" s="52" t="s">
        <v>130</v>
      </c>
    </row>
    <row r="27" spans="2:21">
      <c r="B27" s="12">
        <f>'Prop Est Flash 1'!S25</f>
        <v>1174.5940212926669</v>
      </c>
      <c r="C27" s="1" t="s">
        <v>126</v>
      </c>
      <c r="J27" s="2" t="s">
        <v>12</v>
      </c>
      <c r="L27" s="1" t="s">
        <v>12</v>
      </c>
      <c r="N27" s="2" t="s">
        <v>131</v>
      </c>
      <c r="Q27" s="1" t="s">
        <v>12</v>
      </c>
    </row>
    <row r="28" spans="2:21">
      <c r="B28" s="11">
        <f>'Prop Est Flash 1'!U17+'Prop Est Flash 1'!U18+'Prop Est Flash 1'!U19</f>
        <v>0.36941424887856134</v>
      </c>
      <c r="C28" s="1" t="s">
        <v>324</v>
      </c>
      <c r="Q28" s="1" t="s">
        <v>12</v>
      </c>
    </row>
    <row r="29" spans="2:21">
      <c r="B29" s="287" t="s">
        <v>716</v>
      </c>
    </row>
    <row r="30" spans="2:21">
      <c r="J30" s="36" t="s">
        <v>132</v>
      </c>
      <c r="K30" s="37">
        <v>1</v>
      </c>
      <c r="L30" s="37">
        <v>2</v>
      </c>
      <c r="M30" s="37">
        <v>3</v>
      </c>
      <c r="N30" s="37">
        <v>4</v>
      </c>
      <c r="O30" s="37">
        <v>5</v>
      </c>
      <c r="P30" s="37" t="s">
        <v>496</v>
      </c>
      <c r="Q30" s="37">
        <v>7</v>
      </c>
      <c r="R30" s="37">
        <v>8</v>
      </c>
      <c r="S30" s="37">
        <v>9</v>
      </c>
      <c r="T30" s="37">
        <v>10</v>
      </c>
    </row>
    <row r="31" spans="2:21">
      <c r="J31" s="244" t="s">
        <v>11</v>
      </c>
      <c r="K31" s="245">
        <f>B34</f>
        <v>10</v>
      </c>
      <c r="L31" s="246">
        <f>K31*(1-B35)</f>
        <v>9.9499999999999993</v>
      </c>
      <c r="M31" s="247"/>
      <c r="N31" s="245">
        <f>N32*379*24/1000000</f>
        <v>9.9759734348332554</v>
      </c>
      <c r="O31" s="245"/>
      <c r="P31" s="245">
        <f>N31-B41/1000</f>
        <v>9.6586612835202033</v>
      </c>
      <c r="Q31" s="245">
        <f>P31</f>
        <v>9.6586612835202033</v>
      </c>
      <c r="R31" s="245">
        <f>Q31*R32/Q32</f>
        <v>9.3884860756508317</v>
      </c>
      <c r="S31" s="245"/>
      <c r="T31" s="245"/>
    </row>
    <row r="32" spans="2:21">
      <c r="J32" s="248" t="s">
        <v>317</v>
      </c>
      <c r="K32" s="47">
        <f>K31*1000000/24/'Prop Est Flash 1'!AL3</f>
        <v>1103.2011966844943</v>
      </c>
      <c r="L32" s="47">
        <f>K32*L31/K31</f>
        <v>1097.6851907010719</v>
      </c>
      <c r="M32" s="145">
        <f>(K54-L54)*L31/18/24</f>
        <v>0.94228889442571606</v>
      </c>
      <c r="N32" s="47">
        <f>L32-M32</f>
        <v>1096.7429018066462</v>
      </c>
      <c r="O32" s="145">
        <f>'Flash A'!G26</f>
        <v>0.2029897204676489</v>
      </c>
      <c r="P32" s="47">
        <f>N32</f>
        <v>1096.7429018066462</v>
      </c>
      <c r="Q32" s="47">
        <f>O32+P32</f>
        <v>1096.9458915271139</v>
      </c>
      <c r="R32" s="47">
        <f>'Flash B'!H26</f>
        <v>1066.2617650663942</v>
      </c>
      <c r="S32" s="47">
        <f>'Flash B'!G26</f>
        <v>31.58021258173688</v>
      </c>
      <c r="T32" s="145">
        <f>(P54*P31-Q54*Q31)/18/24</f>
        <v>0</v>
      </c>
    </row>
    <row r="33" spans="2:20">
      <c r="B33" s="39"/>
      <c r="C33" s="40" t="s">
        <v>250</v>
      </c>
      <c r="D33" s="41"/>
      <c r="E33" s="57"/>
      <c r="J33" s="244" t="s">
        <v>0</v>
      </c>
      <c r="K33" s="42"/>
      <c r="L33" s="156"/>
      <c r="M33" s="249">
        <f>(K54-L54)*K31/8.32/42</f>
        <v>1.1707714464950363</v>
      </c>
      <c r="N33" s="47"/>
      <c r="O33" s="145">
        <f>O32*'Prop Est Flash 1'!$AL$2*24</f>
        <v>3.7245810350126409E-6</v>
      </c>
      <c r="P33" s="42"/>
      <c r="Q33" s="42"/>
      <c r="R33" s="42"/>
      <c r="S33" s="47">
        <f>S32*'Prop Est Flash 2'!AL2*24</f>
        <v>3.9001061508109576</v>
      </c>
      <c r="T33" s="259">
        <f>T32*18/8.32/24</f>
        <v>0</v>
      </c>
    </row>
    <row r="34" spans="2:20">
      <c r="B34" s="128">
        <v>10</v>
      </c>
      <c r="C34" s="1" t="s">
        <v>180</v>
      </c>
      <c r="J34" s="227" t="s">
        <v>476</v>
      </c>
      <c r="K34" s="245">
        <f>B36</f>
        <v>100</v>
      </c>
      <c r="L34" s="246">
        <f>K34-'PD 1to2'!E25</f>
        <v>74.792607188727231</v>
      </c>
      <c r="M34" s="250">
        <f>L34</f>
        <v>74.792607188727231</v>
      </c>
      <c r="N34" s="245">
        <f>M34</f>
        <v>74.792607188727231</v>
      </c>
      <c r="O34" s="251">
        <f>L34</f>
        <v>74.792607188727231</v>
      </c>
      <c r="P34" s="245">
        <f>B38</f>
        <v>800</v>
      </c>
      <c r="Q34" s="245">
        <f>P34-'PD 6to7'!E25</f>
        <v>764.99070994396732</v>
      </c>
      <c r="R34" s="245">
        <f>B38-'PD 6to7'!E19</f>
        <v>764.99070994396732</v>
      </c>
      <c r="S34" s="245">
        <f>R34</f>
        <v>764.99070994396732</v>
      </c>
      <c r="T34" s="245">
        <f>S34</f>
        <v>764.99070994396732</v>
      </c>
    </row>
    <row r="35" spans="2:20">
      <c r="B35" s="129">
        <v>5.0000000000000001E-3</v>
      </c>
      <c r="C35" s="1" t="s">
        <v>281</v>
      </c>
      <c r="J35" s="244" t="s">
        <v>498</v>
      </c>
      <c r="K35" s="60">
        <f>B37</f>
        <v>105.45833333333333</v>
      </c>
      <c r="L35" s="74">
        <f>'Chart A - Weather'!P24</f>
        <v>93.458333333333329</v>
      </c>
      <c r="M35" s="332">
        <f>L35</f>
        <v>93.458333333333329</v>
      </c>
      <c r="N35" s="60">
        <f>M35</f>
        <v>93.458333333333329</v>
      </c>
      <c r="O35" s="60">
        <f>N35</f>
        <v>93.458333333333329</v>
      </c>
      <c r="P35" s="60">
        <f>'Chart A - Weather'!S24</f>
        <v>105.45833333333333</v>
      </c>
      <c r="Q35" s="60">
        <f>'Chart A - Weather'!V24</f>
        <v>87.458333333333329</v>
      </c>
      <c r="R35" s="60">
        <f>Q35</f>
        <v>87.458333333333329</v>
      </c>
      <c r="S35" s="60">
        <f>R35</f>
        <v>87.458333333333329</v>
      </c>
      <c r="T35" s="60">
        <f>R35</f>
        <v>87.458333333333329</v>
      </c>
    </row>
    <row r="36" spans="2:20">
      <c r="B36" s="130">
        <v>100</v>
      </c>
      <c r="C36" s="1" t="s">
        <v>321</v>
      </c>
      <c r="J36" s="244" t="s">
        <v>126</v>
      </c>
      <c r="K36" s="253">
        <f>'Prop Est Flash 1'!S25</f>
        <v>1174.5940212926669</v>
      </c>
      <c r="L36" s="254">
        <f>B27</f>
        <v>1174.5940212926669</v>
      </c>
      <c r="M36" s="248"/>
      <c r="N36" s="253">
        <f>'Prop Est Flash 1'!S68</f>
        <v>1175.6840853057402</v>
      </c>
      <c r="O36" s="42"/>
      <c r="P36" s="253"/>
      <c r="Q36" s="253">
        <f>'Prop Est Flash 2'!S25</f>
        <v>1178.1674818772735</v>
      </c>
      <c r="R36" s="253">
        <f>'Prop Est Flash 2'!S68</f>
        <v>1129.653638448262</v>
      </c>
      <c r="S36" s="253">
        <f>'Prop Est Flash 2'!S68</f>
        <v>1129.653638448262</v>
      </c>
      <c r="T36" s="253"/>
    </row>
    <row r="37" spans="2:20">
      <c r="B37" s="130">
        <f>'Chart A - Weather'!L24</f>
        <v>105.45833333333333</v>
      </c>
      <c r="C37" s="1" t="s">
        <v>322</v>
      </c>
      <c r="J37" s="244" t="s">
        <v>67</v>
      </c>
      <c r="K37" s="145">
        <f>'Prop Est Flash 1'!U25</f>
        <v>5.2242199537777232</v>
      </c>
      <c r="L37" s="255">
        <f>B26</f>
        <v>5.2242199537777232</v>
      </c>
      <c r="M37" s="248"/>
      <c r="N37" s="145">
        <f>'Prop Est Flash 1'!U68</f>
        <v>5.2317541412767179</v>
      </c>
      <c r="O37" s="42"/>
      <c r="P37" s="145"/>
      <c r="Q37" s="145">
        <f>'Prop Est Flash 2'!U25</f>
        <v>5.2500951157301072</v>
      </c>
      <c r="R37" s="145">
        <f>'Prop Est Flash 2'!U68</f>
        <v>4.6006361057687206</v>
      </c>
      <c r="S37" s="145">
        <f>'Prop Est Flash 2'!U68</f>
        <v>4.6006361057687206</v>
      </c>
      <c r="T37" s="145"/>
    </row>
    <row r="38" spans="2:20">
      <c r="B38" s="130">
        <v>800</v>
      </c>
      <c r="C38" s="1" t="s">
        <v>251</v>
      </c>
      <c r="J38" s="227" t="s">
        <v>133</v>
      </c>
      <c r="K38" s="58">
        <f t="shared" ref="K38:K48" si="0">B8</f>
        <v>1.1994883333333333E-2</v>
      </c>
      <c r="L38" s="256">
        <f>K38</f>
        <v>1.1994883333333333E-2</v>
      </c>
      <c r="M38" s="248"/>
      <c r="N38" s="58">
        <f>'Flash A'!J14</f>
        <v>1.2006822170246531E-2</v>
      </c>
      <c r="O38" s="58">
        <f>'Flash A'!I14</f>
        <v>6.7985257048677828E-5</v>
      </c>
      <c r="P38" s="58">
        <f t="shared" ref="P38:P49" si="1">N38</f>
        <v>1.2006822170246531E-2</v>
      </c>
      <c r="Q38" s="58">
        <f>P38</f>
        <v>1.2006822170246531E-2</v>
      </c>
      <c r="R38" s="58">
        <f>'Prop Est Flash 2'!C52</f>
        <v>1.2355472481739157E-2</v>
      </c>
      <c r="S38" s="58">
        <f>'Flash B'!I14/('Flash B'!$I$26)</f>
        <v>7.6528119576885299E-4</v>
      </c>
      <c r="T38" s="58">
        <v>0</v>
      </c>
    </row>
    <row r="39" spans="2:20">
      <c r="J39" s="244" t="s">
        <v>3</v>
      </c>
      <c r="K39" s="58">
        <f t="shared" si="0"/>
        <v>5.5579379999999991E-2</v>
      </c>
      <c r="L39" s="256">
        <f t="shared" ref="L39:L48" si="2">K39</f>
        <v>5.5579379999999991E-2</v>
      </c>
      <c r="M39" s="248"/>
      <c r="N39" s="58">
        <f>'Flash A'!J15</f>
        <v>5.5631374758952128E-2</v>
      </c>
      <c r="O39" s="58">
        <f>'Flash A'!I15</f>
        <v>3.6366158068126451E-3</v>
      </c>
      <c r="P39" s="58">
        <f t="shared" si="1"/>
        <v>5.5631374758952128E-2</v>
      </c>
      <c r="Q39" s="58">
        <f t="shared" ref="Q39:Q49" si="3">P39</f>
        <v>5.5631374758952128E-2</v>
      </c>
      <c r="R39" s="58">
        <f>'Prop Est Flash 2'!C53</f>
        <v>5.6105899673287773E-2</v>
      </c>
      <c r="S39" s="58">
        <f>'Flash B'!I15/('Flash B'!$I$26)</f>
        <v>4.2017101114173644E-2</v>
      </c>
      <c r="T39" s="58">
        <v>0</v>
      </c>
    </row>
    <row r="40" spans="2:20">
      <c r="B40" s="12">
        <f>'Hp Est Tool'!S16</f>
        <v>1552.9706492326043</v>
      </c>
      <c r="C40" s="1" t="s">
        <v>284</v>
      </c>
      <c r="J40" s="227" t="s">
        <v>2</v>
      </c>
      <c r="K40" s="58">
        <f t="shared" si="0"/>
        <v>9.9999999999999995E-7</v>
      </c>
      <c r="L40" s="256">
        <f t="shared" si="2"/>
        <v>9.9999999999999995E-7</v>
      </c>
      <c r="M40" s="248"/>
      <c r="N40" s="58">
        <f>'Flash A'!J16</f>
        <v>1.0007399238816907E-6</v>
      </c>
      <c r="O40" s="58">
        <f>'Flash A'!I16</f>
        <v>2.6081604219094173E-7</v>
      </c>
      <c r="P40" s="58">
        <f t="shared" si="1"/>
        <v>1.0007399238816907E-6</v>
      </c>
      <c r="Q40" s="58">
        <f t="shared" si="3"/>
        <v>1.0007399238816907E-6</v>
      </c>
      <c r="R40" s="58">
        <f>'Prop Est Flash 2'!C54</f>
        <v>9.4714861443254252E-7</v>
      </c>
      <c r="S40" s="58">
        <f>'Flash B'!I16/('Flash B'!$I$26)</f>
        <v>2.8508159708313688E-6</v>
      </c>
      <c r="T40" s="58">
        <v>0</v>
      </c>
    </row>
    <row r="41" spans="2:20">
      <c r="B41" s="59">
        <f>'Hp Est Tool'!S22*1000</f>
        <v>317.31215131305214</v>
      </c>
      <c r="C41" s="1" t="s">
        <v>283</v>
      </c>
      <c r="J41" s="244" t="s">
        <v>5</v>
      </c>
      <c r="K41" s="58">
        <f t="shared" si="0"/>
        <v>0.7483542133333333</v>
      </c>
      <c r="L41" s="256">
        <f t="shared" si="2"/>
        <v>0.7483542133333333</v>
      </c>
      <c r="M41" s="248"/>
      <c r="N41" s="58">
        <f>'Flash A'!J17</f>
        <v>0.74909260871383654</v>
      </c>
      <c r="O41" s="58">
        <f>'Flash A'!I17</f>
        <v>1.0697228210450434E-2</v>
      </c>
      <c r="P41" s="58">
        <f t="shared" si="1"/>
        <v>0.74909260871383654</v>
      </c>
      <c r="Q41" s="58">
        <f t="shared" si="3"/>
        <v>0.74909260871383654</v>
      </c>
      <c r="R41" s="58">
        <f>'Prop Est Flash 2'!C55</f>
        <v>0.76865763775262896</v>
      </c>
      <c r="S41" s="58">
        <f>'Flash B'!I17/('Flash B'!$I$26)</f>
        <v>0.12148836719574169</v>
      </c>
      <c r="T41" s="58">
        <v>0</v>
      </c>
    </row>
    <row r="42" spans="2:20">
      <c r="B42" s="2">
        <f>B34*B35*1000</f>
        <v>50</v>
      </c>
      <c r="C42" s="1" t="s">
        <v>282</v>
      </c>
      <c r="J42" s="227" t="s">
        <v>6</v>
      </c>
      <c r="K42" s="58">
        <f t="shared" si="0"/>
        <v>0.10365652333333332</v>
      </c>
      <c r="L42" s="256">
        <f t="shared" si="2"/>
        <v>0.10365652333333332</v>
      </c>
      <c r="M42" s="248"/>
      <c r="N42" s="58">
        <f>'Flash A'!J18</f>
        <v>0.10374969652927329</v>
      </c>
      <c r="O42" s="58">
        <f>'Flash A'!I18</f>
        <v>1.057650058930463E-2</v>
      </c>
      <c r="P42" s="58">
        <f t="shared" si="1"/>
        <v>0.10374969652927329</v>
      </c>
      <c r="Q42" s="58">
        <f t="shared" si="3"/>
        <v>0.10374969652927329</v>
      </c>
      <c r="R42" s="58">
        <f>'Prop Est Flash 2'!C56</f>
        <v>0.10340260489090039</v>
      </c>
      <c r="S42" s="58">
        <f>'Flash B'!I18/('Flash B'!$I$26)</f>
        <v>0.11990556961317349</v>
      </c>
      <c r="T42" s="58">
        <v>0</v>
      </c>
    </row>
    <row r="43" spans="2:20">
      <c r="B43" s="59">
        <f>(L31-R31)*1000</f>
        <v>561.51392434916761</v>
      </c>
      <c r="C43" s="1" t="s">
        <v>285</v>
      </c>
      <c r="J43" s="244" t="s">
        <v>7</v>
      </c>
      <c r="K43" s="58">
        <f t="shared" si="0"/>
        <v>4.9144E-2</v>
      </c>
      <c r="L43" s="256">
        <f t="shared" si="2"/>
        <v>4.9144E-2</v>
      </c>
      <c r="M43" s="248"/>
      <c r="N43" s="58">
        <f>'Flash A'!J19</f>
        <v>4.9172125239411987E-2</v>
      </c>
      <c r="O43" s="58">
        <f>'Flash A'!I19</f>
        <v>2.1046885827424953E-2</v>
      </c>
      <c r="P43" s="58">
        <f t="shared" si="1"/>
        <v>4.9172125239411987E-2</v>
      </c>
      <c r="Q43" s="58">
        <f t="shared" si="3"/>
        <v>4.9172125239411987E-2</v>
      </c>
      <c r="R43" s="58">
        <f>'Prop Est Flash 2'!C57</f>
        <v>4.4198706968650608E-2</v>
      </c>
      <c r="S43" s="58">
        <f>'Flash B'!I19/('Flash B'!$I$26)</f>
        <v>0.21898912834051196</v>
      </c>
      <c r="T43" s="58">
        <v>0</v>
      </c>
    </row>
    <row r="44" spans="2:20">
      <c r="B44" s="11">
        <f>S33</f>
        <v>3.9001061508109576</v>
      </c>
      <c r="C44" s="1" t="s">
        <v>286</v>
      </c>
      <c r="J44" s="227" t="s">
        <v>8</v>
      </c>
      <c r="K44" s="58">
        <f t="shared" si="0"/>
        <v>6.4696433333333329E-3</v>
      </c>
      <c r="L44" s="256">
        <f t="shared" si="2"/>
        <v>6.4696433333333329E-3</v>
      </c>
      <c r="M44" s="248"/>
      <c r="N44" s="58">
        <f>'Flash A'!J20</f>
        <v>6.4687434070746837E-3</v>
      </c>
      <c r="O44" s="58">
        <f>'Flash A'!I20</f>
        <v>7.3686696657243728E-3</v>
      </c>
      <c r="P44" s="58">
        <f t="shared" si="1"/>
        <v>6.4687434070746837E-3</v>
      </c>
      <c r="Q44" s="58">
        <f t="shared" si="3"/>
        <v>6.4687434070746837E-3</v>
      </c>
      <c r="R44" s="58">
        <f>'Prop Est Flash 2'!C58</f>
        <v>4.7794640033945891E-3</v>
      </c>
      <c r="S44" s="58">
        <f>'Flash B'!I20/('Flash B'!$I$26)</f>
        <v>6.3709980499228741E-2</v>
      </c>
      <c r="T44" s="58">
        <v>0</v>
      </c>
    </row>
    <row r="45" spans="2:20">
      <c r="J45" s="244" t="s">
        <v>9</v>
      </c>
      <c r="K45" s="58">
        <f t="shared" si="0"/>
        <v>1.4280399999999999E-2</v>
      </c>
      <c r="L45" s="256">
        <f t="shared" si="2"/>
        <v>1.4280399999999999E-2</v>
      </c>
      <c r="M45" s="248"/>
      <c r="N45" s="58">
        <f>'Flash A'!J21</f>
        <v>1.4271695793360122E-2</v>
      </c>
      <c r="O45" s="58">
        <f>'Flash A'!I21</f>
        <v>2.2975902433236023E-2</v>
      </c>
      <c r="P45" s="58">
        <f t="shared" si="1"/>
        <v>1.4271695793360122E-2</v>
      </c>
      <c r="Q45" s="58">
        <f t="shared" si="3"/>
        <v>1.4271695793360122E-2</v>
      </c>
      <c r="R45" s="58">
        <f>'Prop Est Flash 2'!C59</f>
        <v>9.4219325010989671E-3</v>
      </c>
      <c r="S45" s="58">
        <f>'Flash B'!I21/('Flash B'!$I$26)</f>
        <v>0.17842145614523314</v>
      </c>
      <c r="T45" s="58">
        <v>0</v>
      </c>
    </row>
    <row r="46" spans="2:20">
      <c r="J46" s="227" t="s">
        <v>124</v>
      </c>
      <c r="K46" s="58">
        <f t="shared" si="0"/>
        <v>3.3084933333333336E-3</v>
      </c>
      <c r="L46" s="256">
        <f t="shared" si="2"/>
        <v>3.3084933333333336E-3</v>
      </c>
      <c r="M46" s="248"/>
      <c r="N46" s="58">
        <f>'Flash A'!J22</f>
        <v>3.2985688112396258E-3</v>
      </c>
      <c r="O46" s="58">
        <f>'Flash A'!I22</f>
        <v>1.3223090904947917E-2</v>
      </c>
      <c r="P46" s="58">
        <f t="shared" si="1"/>
        <v>3.2985688112396258E-3</v>
      </c>
      <c r="Q46" s="58">
        <f t="shared" si="3"/>
        <v>3.2985688112396258E-3</v>
      </c>
      <c r="R46" s="58">
        <f>'Prop Est Flash 2'!C60</f>
        <v>1.409631522786008E-3</v>
      </c>
      <c r="S46" s="58">
        <f>'Flash B'!I22/('Flash B'!$I$26)</f>
        <v>6.7136382400327918E-2</v>
      </c>
      <c r="T46" s="58">
        <v>0</v>
      </c>
    </row>
    <row r="47" spans="2:20">
      <c r="J47" s="244" t="s">
        <v>125</v>
      </c>
      <c r="K47" s="58">
        <f t="shared" si="0"/>
        <v>3.4617033333333332E-3</v>
      </c>
      <c r="L47" s="256">
        <f t="shared" si="2"/>
        <v>3.4617033333333332E-3</v>
      </c>
      <c r="M47" s="248"/>
      <c r="N47" s="58">
        <f>'Flash A'!J23</f>
        <v>3.4466820903256267E-3</v>
      </c>
      <c r="O47" s="58">
        <f>'Flash A'!I23</f>
        <v>1.8467925098031895E-2</v>
      </c>
      <c r="P47" s="58">
        <f t="shared" si="1"/>
        <v>3.4466820903256267E-3</v>
      </c>
      <c r="Q47" s="58">
        <f t="shared" si="3"/>
        <v>3.4466820903256267E-3</v>
      </c>
      <c r="R47" s="58">
        <f>'Prop Est Flash 2'!C61</f>
        <v>1.2264101016952447E-3</v>
      </c>
      <c r="S47" s="58">
        <f>'Flash B'!I23/('Flash B'!$I$26)</f>
        <v>7.846368732461613E-2</v>
      </c>
      <c r="T47" s="58">
        <v>0</v>
      </c>
    </row>
    <row r="48" spans="2:20">
      <c r="J48" s="227" t="s">
        <v>84</v>
      </c>
      <c r="K48" s="58">
        <f t="shared" si="0"/>
        <v>3.0104900000000306E-3</v>
      </c>
      <c r="L48" s="256">
        <f t="shared" si="2"/>
        <v>3.0104900000000306E-3</v>
      </c>
      <c r="M48" s="248"/>
      <c r="N48" s="58">
        <f>'Flash A'!J24</f>
        <v>3.6631181082196441E-3</v>
      </c>
      <c r="O48" s="58">
        <f>'Flash A'!I24</f>
        <v>5.9125009888605411E-2</v>
      </c>
      <c r="P48" s="58">
        <f t="shared" si="1"/>
        <v>3.6631181082196441E-3</v>
      </c>
      <c r="Q48" s="58">
        <f t="shared" si="3"/>
        <v>3.6631181082196441E-3</v>
      </c>
      <c r="R48" s="58">
        <f>'Prop Est Flash 2'!C62</f>
        <v>5.5587336789872095E-4</v>
      </c>
      <c r="S48" s="58">
        <f>'Flash B'!I24/('Flash B'!$I$26)</f>
        <v>0.10859874788367019</v>
      </c>
      <c r="T48" s="58">
        <v>0</v>
      </c>
    </row>
    <row r="49" spans="10:20">
      <c r="J49" s="244" t="s">
        <v>10</v>
      </c>
      <c r="K49" s="58">
        <f>SUM(B19:B22)</f>
        <v>7.4027000000000001E-4</v>
      </c>
      <c r="L49" s="256">
        <f>K49</f>
        <v>7.4027000000000001E-4</v>
      </c>
      <c r="M49" s="248"/>
      <c r="N49" s="58">
        <f>'Flash A'!J25</f>
        <v>1.4455453802334921E-5</v>
      </c>
      <c r="O49" s="58">
        <f>'Flash A'!I25</f>
        <v>1.7739001651467391E-2</v>
      </c>
      <c r="P49" s="58">
        <f t="shared" si="1"/>
        <v>1.4455453802334921E-5</v>
      </c>
      <c r="Q49" s="58">
        <f t="shared" si="3"/>
        <v>1.4455453802334921E-5</v>
      </c>
      <c r="R49" s="58">
        <f>'Flash B'!J25</f>
        <v>3.191475684320729E-8</v>
      </c>
      <c r="S49" s="58">
        <f>'Flash B'!I25/('Flash B'!$I$26)</f>
        <v>5.01447471583479E-4</v>
      </c>
      <c r="T49" s="58">
        <v>0</v>
      </c>
    </row>
    <row r="50" spans="10:20" ht="14.25" customHeight="1">
      <c r="J50" s="228" t="s">
        <v>1</v>
      </c>
      <c r="K50" s="58"/>
      <c r="L50" s="256"/>
      <c r="M50" s="257">
        <v>1</v>
      </c>
      <c r="N50" s="58"/>
      <c r="O50" s="58"/>
      <c r="P50" s="58"/>
      <c r="Q50" s="58"/>
      <c r="R50" s="58"/>
      <c r="S50" s="58"/>
      <c r="T50" s="58">
        <v>1</v>
      </c>
    </row>
    <row r="51" spans="10:20">
      <c r="J51" s="228" t="s">
        <v>134</v>
      </c>
      <c r="K51" s="256">
        <f>SUM(K38:K50)</f>
        <v>1.0000009999999999</v>
      </c>
      <c r="L51" s="256">
        <f>SUM(L38:L50)</f>
        <v>1.0000009999999999</v>
      </c>
      <c r="M51" s="257">
        <f>SUM(M38:M50)</f>
        <v>1</v>
      </c>
      <c r="N51" s="58">
        <f>SUM(N38:N50)</f>
        <v>1.0008168918156664</v>
      </c>
      <c r="O51" s="58">
        <f>SUM(O38:O50)</f>
        <v>0.18492507614909653</v>
      </c>
      <c r="P51" s="58">
        <f t="shared" ref="P51:Q51" si="4">SUM(P38:P50)</f>
        <v>1.0008168918156664</v>
      </c>
      <c r="Q51" s="58">
        <f t="shared" si="4"/>
        <v>1.0008168918156664</v>
      </c>
      <c r="R51" s="58">
        <f>SUM(R38:R50)</f>
        <v>1.0021146123274516</v>
      </c>
      <c r="S51" s="58">
        <f>SUM(S38:S50)</f>
        <v>1</v>
      </c>
      <c r="T51" s="58">
        <f>SUM(T38:T50)</f>
        <v>1</v>
      </c>
    </row>
    <row r="52" spans="10:20">
      <c r="J52"/>
      <c r="K52" s="32"/>
      <c r="L52" s="32"/>
      <c r="M52"/>
      <c r="N52"/>
      <c r="O52"/>
      <c r="P52"/>
      <c r="Q52"/>
      <c r="R52"/>
      <c r="S52"/>
      <c r="T52"/>
    </row>
    <row r="53" spans="10:20" ht="15" customHeight="1">
      <c r="J53" s="244" t="s">
        <v>122</v>
      </c>
      <c r="K53" s="47">
        <f>'HDP 1 2'!F15</f>
        <v>74.044235987713876</v>
      </c>
      <c r="L53" s="252">
        <f>K53</f>
        <v>74.044235987713876</v>
      </c>
      <c r="M53" s="215"/>
      <c r="N53" s="215"/>
      <c r="O53" s="215"/>
      <c r="P53" s="249">
        <f>Q53</f>
        <v>105.80712169605096</v>
      </c>
      <c r="Q53" s="249">
        <f>'HDP 6 7 8'!F15</f>
        <v>105.80712169605096</v>
      </c>
      <c r="R53" s="249">
        <f>P53</f>
        <v>105.80712169605096</v>
      </c>
      <c r="S53" s="215"/>
      <c r="T53" s="215"/>
    </row>
    <row r="54" spans="10:20" ht="14.25" customHeight="1">
      <c r="J54" s="244" t="s">
        <v>420</v>
      </c>
      <c r="K54" s="47">
        <f>IF(K34&lt;400, 'water content 1'!E15, 'water content 1'!E16)</f>
        <v>552.71943551995355</v>
      </c>
      <c r="L54" s="47">
        <f>IF(K34&lt;400,'water content 2'!E15,'water content 2'!E16)</f>
        <v>511.807998093631</v>
      </c>
      <c r="M54" s="203"/>
      <c r="N54" s="248"/>
      <c r="O54" s="203"/>
      <c r="P54" s="249">
        <f>IF(P34&lt;400,'water content 6'!E15,'water content 6'!E16)</f>
        <v>69.859248733409302</v>
      </c>
      <c r="Q54" s="249">
        <f>IF(Q34&lt;400,'water content 7'!E15,'water content 7'!E16)</f>
        <v>69.859248733409302</v>
      </c>
      <c r="R54" s="258"/>
      <c r="S54" s="248"/>
      <c r="T54" s="204"/>
    </row>
    <row r="56" spans="10:20">
      <c r="J56" s="121" t="s">
        <v>497</v>
      </c>
    </row>
    <row r="57" spans="10:20">
      <c r="J57" s="121" t="s">
        <v>495</v>
      </c>
    </row>
  </sheetData>
  <printOptions horizontalCentered="1" verticalCentered="1"/>
  <pageMargins left="0.25" right="0.25" top="0.75" bottom="0.75" header="0.3" footer="0.3"/>
  <pageSetup paperSize="17"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66FF"/>
    <pageSetUpPr fitToPage="1"/>
  </sheetPr>
  <dimension ref="B1:V32"/>
  <sheetViews>
    <sheetView zoomScale="84" zoomScaleNormal="84" workbookViewId="0"/>
  </sheetViews>
  <sheetFormatPr defaultRowHeight="15"/>
  <cols>
    <col min="2" max="2" width="21.28515625" customWidth="1"/>
    <col min="3" max="3" width="9.7109375" hidden="1" customWidth="1"/>
    <col min="4" max="5" width="11.140625" hidden="1" customWidth="1"/>
    <col min="7" max="7" width="8.7109375" customWidth="1"/>
    <col min="10" max="10" width="10.28515625" customWidth="1"/>
  </cols>
  <sheetData>
    <row r="1" spans="2:22" s="1" customFormat="1"/>
    <row r="2" spans="2:22" s="1" customFormat="1" ht="18.75">
      <c r="F2" s="138" t="s">
        <v>489</v>
      </c>
    </row>
    <row r="3" spans="2:22" s="1" customFormat="1"/>
    <row r="4" spans="2:22" s="1" customFormat="1"/>
    <row r="5" spans="2:22" s="1" customFormat="1" ht="15.75" thickBot="1"/>
    <row r="6" spans="2:22" s="1" customFormat="1" ht="15.75" thickBot="1">
      <c r="F6" s="79"/>
      <c r="G6" s="81" t="s">
        <v>279</v>
      </c>
      <c r="H6" s="80"/>
      <c r="I6" s="80"/>
      <c r="J6" s="100" t="s">
        <v>254</v>
      </c>
      <c r="K6" s="79"/>
      <c r="L6" s="80"/>
      <c r="M6" s="80"/>
      <c r="N6" s="80"/>
      <c r="O6" s="81" t="s">
        <v>280</v>
      </c>
      <c r="P6" s="80"/>
      <c r="Q6" s="80"/>
      <c r="R6" s="80"/>
      <c r="S6" s="80"/>
      <c r="T6" s="80"/>
      <c r="U6" s="80"/>
      <c r="V6" s="106"/>
    </row>
    <row r="7" spans="2:22">
      <c r="B7" s="75" t="s">
        <v>252</v>
      </c>
      <c r="C7" s="87">
        <v>1</v>
      </c>
      <c r="D7" s="88">
        <v>2</v>
      </c>
      <c r="E7" s="89">
        <v>3</v>
      </c>
      <c r="F7" s="90">
        <v>1</v>
      </c>
      <c r="G7" s="88">
        <v>2</v>
      </c>
      <c r="H7" s="88">
        <v>3</v>
      </c>
      <c r="I7" s="334" t="s">
        <v>247</v>
      </c>
      <c r="J7" s="99">
        <v>7</v>
      </c>
      <c r="K7" s="90">
        <v>4</v>
      </c>
      <c r="L7" s="88">
        <v>5</v>
      </c>
      <c r="M7" s="88">
        <v>6</v>
      </c>
      <c r="N7" s="88">
        <v>7</v>
      </c>
      <c r="O7" s="88">
        <v>8</v>
      </c>
      <c r="P7" s="88">
        <v>9</v>
      </c>
      <c r="Q7" s="88">
        <v>10</v>
      </c>
      <c r="R7" s="88">
        <v>11</v>
      </c>
      <c r="S7" s="88">
        <v>12</v>
      </c>
      <c r="T7" s="88">
        <v>13</v>
      </c>
      <c r="U7" s="88">
        <v>14</v>
      </c>
      <c r="V7" s="132">
        <v>15</v>
      </c>
    </row>
    <row r="8" spans="2:22" s="1" customFormat="1">
      <c r="B8" s="76" t="s">
        <v>241</v>
      </c>
      <c r="C8" s="72" t="s">
        <v>51</v>
      </c>
      <c r="D8" s="8" t="s">
        <v>51</v>
      </c>
      <c r="E8" s="62" t="s">
        <v>51</v>
      </c>
      <c r="F8" s="66" t="s">
        <v>51</v>
      </c>
      <c r="G8" s="8" t="s">
        <v>51</v>
      </c>
      <c r="H8" s="8" t="s">
        <v>51</v>
      </c>
      <c r="I8" s="335" t="s">
        <v>51</v>
      </c>
      <c r="J8" s="76" t="s">
        <v>51</v>
      </c>
      <c r="K8" s="66" t="s">
        <v>51</v>
      </c>
      <c r="L8" s="8" t="s">
        <v>51</v>
      </c>
      <c r="M8" s="8" t="s">
        <v>51</v>
      </c>
      <c r="N8" s="8" t="s">
        <v>51</v>
      </c>
      <c r="O8" s="8" t="s">
        <v>51</v>
      </c>
      <c r="P8" s="8" t="s">
        <v>51</v>
      </c>
      <c r="Q8" s="8" t="s">
        <v>51</v>
      </c>
      <c r="R8" s="8" t="s">
        <v>51</v>
      </c>
      <c r="S8" s="8" t="s">
        <v>51</v>
      </c>
      <c r="T8" s="8" t="s">
        <v>51</v>
      </c>
      <c r="U8" s="8" t="s">
        <v>51</v>
      </c>
      <c r="V8" s="133" t="s">
        <v>51</v>
      </c>
    </row>
    <row r="9" spans="2:22" s="1" customFormat="1">
      <c r="B9" s="76" t="s">
        <v>68</v>
      </c>
      <c r="C9" s="73">
        <v>5.0000000000000001E-3</v>
      </c>
      <c r="D9" s="35">
        <v>5.0000000000000001E-3</v>
      </c>
      <c r="E9" s="63">
        <v>5.0000000000000001E-3</v>
      </c>
      <c r="F9" s="67">
        <v>6.0549999999999996E-3</v>
      </c>
      <c r="G9" s="35">
        <v>1.4870000000000001E-2</v>
      </c>
      <c r="H9" s="35">
        <v>1.5059650000000001E-2</v>
      </c>
      <c r="I9" s="336">
        <v>1.1994883333333333E-2</v>
      </c>
      <c r="J9" s="96">
        <v>6.9999999999999999E-4</v>
      </c>
      <c r="K9" s="67">
        <v>5.0000000000000001E-3</v>
      </c>
      <c r="L9" s="35">
        <v>5.0000000000000001E-3</v>
      </c>
      <c r="M9" s="35">
        <v>5.0000000000000001E-3</v>
      </c>
      <c r="N9" s="35">
        <v>5.0000000000000001E-3</v>
      </c>
      <c r="O9" s="35">
        <v>5.0000000000000001E-3</v>
      </c>
      <c r="P9" s="35">
        <v>5.0000000000000001E-3</v>
      </c>
      <c r="Q9" s="35">
        <v>5.0000000000000001E-3</v>
      </c>
      <c r="R9" s="35">
        <v>5.0000000000000001E-3</v>
      </c>
      <c r="S9" s="35">
        <v>5.0000000000000001E-3</v>
      </c>
      <c r="T9" s="35">
        <v>5.0000000000000001E-3</v>
      </c>
      <c r="U9" s="35">
        <v>5.0000000000000001E-3</v>
      </c>
      <c r="V9" s="134">
        <v>5.0000000000000001E-3</v>
      </c>
    </row>
    <row r="10" spans="2:22" s="1" customFormat="1">
      <c r="B10" s="76" t="s">
        <v>69</v>
      </c>
      <c r="C10" s="73">
        <v>2.5000000000000001E-2</v>
      </c>
      <c r="D10" s="35">
        <v>2.5000000000000001E-2</v>
      </c>
      <c r="E10" s="63">
        <v>2.5000000000000001E-2</v>
      </c>
      <c r="F10" s="67">
        <v>1.5399999999999999E-3</v>
      </c>
      <c r="G10" s="35">
        <v>6.2899999999999998E-2</v>
      </c>
      <c r="H10" s="35">
        <v>0.10229814</v>
      </c>
      <c r="I10" s="336">
        <v>5.5579379999999991E-2</v>
      </c>
      <c r="J10" s="96">
        <v>1.37E-2</v>
      </c>
      <c r="K10" s="67">
        <v>2.5000000000000001E-2</v>
      </c>
      <c r="L10" s="35">
        <v>0.03</v>
      </c>
      <c r="M10" s="35">
        <v>0.03</v>
      </c>
      <c r="N10" s="35">
        <v>0.03</v>
      </c>
      <c r="O10" s="35">
        <v>0.03</v>
      </c>
      <c r="P10" s="35">
        <v>3.2000000000000001E-2</v>
      </c>
      <c r="Q10" s="35">
        <v>3.3000000000000002E-2</v>
      </c>
      <c r="R10" s="35">
        <v>3.3000000000000002E-2</v>
      </c>
      <c r="S10" s="35">
        <v>3.3000000000000002E-2</v>
      </c>
      <c r="T10" s="35">
        <v>3.4000000000000002E-2</v>
      </c>
      <c r="U10" s="35">
        <v>3.5000000000000003E-2</v>
      </c>
      <c r="V10" s="134">
        <v>3.4000000000000002E-2</v>
      </c>
    </row>
    <row r="11" spans="2:22" s="1" customFormat="1">
      <c r="B11" s="76" t="s">
        <v>71</v>
      </c>
      <c r="C11" s="73">
        <v>0</v>
      </c>
      <c r="D11" s="35">
        <v>0</v>
      </c>
      <c r="E11" s="63">
        <v>0</v>
      </c>
      <c r="F11" s="67">
        <v>0</v>
      </c>
      <c r="G11" s="35">
        <v>0</v>
      </c>
      <c r="H11" s="35">
        <v>0</v>
      </c>
      <c r="I11" s="336">
        <v>0</v>
      </c>
      <c r="J11" s="96">
        <v>0</v>
      </c>
      <c r="K11" s="67">
        <v>0</v>
      </c>
      <c r="L11" s="35">
        <v>0</v>
      </c>
      <c r="M11" s="35">
        <v>0</v>
      </c>
      <c r="N11" s="35">
        <v>0</v>
      </c>
      <c r="O11" s="35">
        <v>0</v>
      </c>
      <c r="P11" s="35">
        <v>0</v>
      </c>
      <c r="Q11" s="35">
        <v>0</v>
      </c>
      <c r="R11" s="35">
        <v>0</v>
      </c>
      <c r="S11" s="35">
        <v>0</v>
      </c>
      <c r="T11" s="35">
        <v>0</v>
      </c>
      <c r="U11" s="35">
        <v>0</v>
      </c>
      <c r="V11" s="134">
        <v>0</v>
      </c>
    </row>
    <row r="12" spans="2:22" s="1" customFormat="1">
      <c r="B12" s="76" t="s">
        <v>72</v>
      </c>
      <c r="C12" s="73">
        <v>0.87250000000000005</v>
      </c>
      <c r="D12" s="35">
        <v>0.877</v>
      </c>
      <c r="E12" s="63">
        <v>0.88100000000000001</v>
      </c>
      <c r="F12" s="67">
        <v>0.80165999999999993</v>
      </c>
      <c r="G12" s="35">
        <v>0.71806999999999999</v>
      </c>
      <c r="H12" s="35">
        <v>0.72533263999999997</v>
      </c>
      <c r="I12" s="336">
        <v>0.7483542133333333</v>
      </c>
      <c r="J12" s="96">
        <v>0.69399999999999995</v>
      </c>
      <c r="K12" s="67">
        <v>0.88470000000000004</v>
      </c>
      <c r="L12" s="35">
        <v>0.83199999999999996</v>
      </c>
      <c r="M12" s="35">
        <v>0.84130000000000005</v>
      </c>
      <c r="N12" s="35">
        <v>0.84350000000000003</v>
      </c>
      <c r="O12" s="35">
        <v>0.83199999999999996</v>
      </c>
      <c r="P12" s="35">
        <v>0.82</v>
      </c>
      <c r="Q12" s="35">
        <v>0.8</v>
      </c>
      <c r="R12" s="35">
        <v>0.79</v>
      </c>
      <c r="S12" s="35">
        <v>0.77500000000000002</v>
      </c>
      <c r="T12" s="35">
        <v>0.75</v>
      </c>
      <c r="U12" s="35">
        <v>0.73</v>
      </c>
      <c r="V12" s="134">
        <v>0.7</v>
      </c>
    </row>
    <row r="13" spans="2:22" s="1" customFormat="1">
      <c r="B13" s="76" t="s">
        <v>74</v>
      </c>
      <c r="C13" s="73">
        <v>5.0999999999999997E-2</v>
      </c>
      <c r="D13" s="35">
        <v>5.2999999999999999E-2</v>
      </c>
      <c r="E13" s="63">
        <v>5.2999999999999999E-2</v>
      </c>
      <c r="F13" s="67">
        <v>0.11187999999999999</v>
      </c>
      <c r="G13" s="35">
        <v>0.11173</v>
      </c>
      <c r="H13" s="35">
        <v>8.7359570000000011E-2</v>
      </c>
      <c r="I13" s="336">
        <v>0.10365652333333332</v>
      </c>
      <c r="J13" s="96">
        <v>0.13550000000000001</v>
      </c>
      <c r="K13" s="67">
        <v>5.1999999999999998E-2</v>
      </c>
      <c r="L13" s="35">
        <v>7.1999999999999995E-2</v>
      </c>
      <c r="M13" s="35">
        <v>7.1999999999999995E-2</v>
      </c>
      <c r="N13" s="35">
        <v>7.1999999999999995E-2</v>
      </c>
      <c r="O13" s="35">
        <v>7.1999999999999995E-2</v>
      </c>
      <c r="P13" s="35">
        <v>7.51E-2</v>
      </c>
      <c r="Q13" s="35">
        <v>7.9299999999999995E-2</v>
      </c>
      <c r="R13" s="35">
        <v>8.3699999999999997E-2</v>
      </c>
      <c r="S13" s="35">
        <v>8.8999999999999996E-2</v>
      </c>
      <c r="T13" s="35">
        <v>9.6500000000000002E-2</v>
      </c>
      <c r="U13" s="35">
        <v>0.10249999999999999</v>
      </c>
      <c r="V13" s="134">
        <v>0.115</v>
      </c>
    </row>
    <row r="14" spans="2:22" s="1" customFormat="1">
      <c r="B14" s="76" t="s">
        <v>76</v>
      </c>
      <c r="C14" s="73">
        <v>1.7999999999999999E-2</v>
      </c>
      <c r="D14" s="35">
        <v>1.9E-2</v>
      </c>
      <c r="E14" s="63">
        <v>1.8499999999999999E-2</v>
      </c>
      <c r="F14" s="67">
        <v>4.691E-2</v>
      </c>
      <c r="G14" s="35">
        <v>5.901E-2</v>
      </c>
      <c r="H14" s="35">
        <v>4.1512E-2</v>
      </c>
      <c r="I14" s="336">
        <v>4.9144E-2</v>
      </c>
      <c r="J14" s="96">
        <v>6.6400000000000001E-2</v>
      </c>
      <c r="K14" s="67">
        <v>1.8499999999999999E-2</v>
      </c>
      <c r="L14" s="35">
        <v>3.0200000000000001E-2</v>
      </c>
      <c r="M14" s="35">
        <v>3.0200000000000001E-2</v>
      </c>
      <c r="N14" s="35">
        <v>3.0200000000000001E-2</v>
      </c>
      <c r="O14" s="35">
        <v>3.0200000000000001E-2</v>
      </c>
      <c r="P14" s="35">
        <v>3.3000000000000002E-2</v>
      </c>
      <c r="Q14" s="35">
        <v>4.2000000000000003E-2</v>
      </c>
      <c r="R14" s="35">
        <v>4.4999999999999998E-2</v>
      </c>
      <c r="S14" s="35">
        <v>4.8500000000000001E-2</v>
      </c>
      <c r="T14" s="35">
        <v>5.6500000000000002E-2</v>
      </c>
      <c r="U14" s="35">
        <v>6.1199999999999997E-2</v>
      </c>
      <c r="V14" s="134">
        <v>6.5000000000000002E-2</v>
      </c>
    </row>
    <row r="15" spans="2:22" s="1" customFormat="1">
      <c r="B15" s="76" t="s">
        <v>78</v>
      </c>
      <c r="C15" s="73">
        <v>4.0000000000000001E-3</v>
      </c>
      <c r="D15" s="35">
        <v>2E-3</v>
      </c>
      <c r="E15" s="63">
        <v>1.5E-3</v>
      </c>
      <c r="F15" s="67">
        <v>7.62E-3</v>
      </c>
      <c r="G15" s="35">
        <v>7.2199999999999999E-3</v>
      </c>
      <c r="H15" s="35">
        <v>4.5689299999999997E-3</v>
      </c>
      <c r="I15" s="336">
        <v>6.4696433333333329E-3</v>
      </c>
      <c r="J15" s="96">
        <v>1.5599999999999999E-2</v>
      </c>
      <c r="K15" s="67">
        <v>8.0000000000000004E-4</v>
      </c>
      <c r="L15" s="35">
        <v>3.5000000000000001E-3</v>
      </c>
      <c r="M15" s="35">
        <v>2.5000000000000001E-3</v>
      </c>
      <c r="N15" s="35">
        <v>2.5000000000000001E-3</v>
      </c>
      <c r="O15" s="35">
        <v>3.5000000000000001E-3</v>
      </c>
      <c r="P15" s="35">
        <v>4.1999999999999997E-3</v>
      </c>
      <c r="Q15" s="35">
        <v>4.4999999999999997E-3</v>
      </c>
      <c r="R15" s="35">
        <v>4.7000000000000002E-3</v>
      </c>
      <c r="S15" s="35">
        <v>6.0000000000000001E-3</v>
      </c>
      <c r="T15" s="35">
        <v>8.5000000000000006E-3</v>
      </c>
      <c r="U15" s="35">
        <v>9.4999999999999998E-3</v>
      </c>
      <c r="V15" s="134">
        <v>1.2500000000000001E-2</v>
      </c>
    </row>
    <row r="16" spans="2:22" s="1" customFormat="1">
      <c r="B16" s="76" t="s">
        <v>80</v>
      </c>
      <c r="C16" s="73">
        <v>4.0000000000000001E-3</v>
      </c>
      <c r="D16" s="35">
        <v>3.0000000000000001E-3</v>
      </c>
      <c r="E16" s="63">
        <v>2.5000000000000001E-3</v>
      </c>
      <c r="F16" s="67">
        <v>1.4785E-2</v>
      </c>
      <c r="G16" s="35">
        <v>1.627E-2</v>
      </c>
      <c r="H16" s="35">
        <v>1.17862E-2</v>
      </c>
      <c r="I16" s="336">
        <v>1.4280399999999999E-2</v>
      </c>
      <c r="J16" s="96">
        <v>2.4199999999999999E-2</v>
      </c>
      <c r="K16" s="67">
        <v>1.5E-3</v>
      </c>
      <c r="L16" s="35">
        <v>6.0000000000000001E-3</v>
      </c>
      <c r="M16" s="35">
        <v>4.4999999999999997E-3</v>
      </c>
      <c r="N16" s="35">
        <v>3.5000000000000001E-3</v>
      </c>
      <c r="O16" s="35">
        <v>6.0000000000000001E-3</v>
      </c>
      <c r="P16" s="35">
        <v>6.7999999999999996E-3</v>
      </c>
      <c r="Q16" s="35">
        <v>1.0999999999999999E-2</v>
      </c>
      <c r="R16" s="35">
        <v>1.2E-2</v>
      </c>
      <c r="S16" s="35">
        <v>1.4999999999999999E-2</v>
      </c>
      <c r="T16" s="35">
        <v>1.8700000000000001E-2</v>
      </c>
      <c r="U16" s="35">
        <v>2.1000000000000001E-2</v>
      </c>
      <c r="V16" s="134">
        <v>2.53E-2</v>
      </c>
    </row>
    <row r="17" spans="2:22" s="1" customFormat="1">
      <c r="B17" s="76" t="s">
        <v>81</v>
      </c>
      <c r="C17" s="73">
        <v>2.2000000000000001E-3</v>
      </c>
      <c r="D17" s="35">
        <v>1.1000000000000001E-3</v>
      </c>
      <c r="E17" s="63">
        <v>5.0000000000000001E-4</v>
      </c>
      <c r="F17" s="67">
        <v>3.4150000000000001E-3</v>
      </c>
      <c r="G17" s="35">
        <v>3.6099999999999999E-3</v>
      </c>
      <c r="H17" s="35">
        <v>2.9004799999999996E-3</v>
      </c>
      <c r="I17" s="336">
        <v>3.3084933333333336E-3</v>
      </c>
      <c r="J17" s="96">
        <v>8.5000000000000006E-3</v>
      </c>
      <c r="K17" s="67">
        <v>2.5000000000000001E-4</v>
      </c>
      <c r="L17" s="35">
        <v>1.8E-3</v>
      </c>
      <c r="M17" s="35">
        <v>5.0000000000000001E-4</v>
      </c>
      <c r="N17" s="35">
        <v>2.5000000000000001E-4</v>
      </c>
      <c r="O17" s="35">
        <v>1.8E-3</v>
      </c>
      <c r="P17" s="35">
        <v>2.5000000000000001E-3</v>
      </c>
      <c r="Q17" s="35">
        <v>2.5000000000000001E-3</v>
      </c>
      <c r="R17" s="35">
        <v>2.8E-3</v>
      </c>
      <c r="S17" s="35">
        <v>3.5000000000000001E-3</v>
      </c>
      <c r="T17" s="35">
        <v>4.0000000000000001E-3</v>
      </c>
      <c r="U17" s="35">
        <v>5.4999999999999997E-3</v>
      </c>
      <c r="V17" s="134">
        <v>7.0000000000000001E-3</v>
      </c>
    </row>
    <row r="18" spans="2:22" s="1" customFormat="1">
      <c r="B18" s="76" t="s">
        <v>83</v>
      </c>
      <c r="C18" s="73">
        <v>4.0000000000000001E-3</v>
      </c>
      <c r="D18" s="35">
        <v>2E-3</v>
      </c>
      <c r="E18" s="63">
        <v>1E-3</v>
      </c>
      <c r="F18" s="67">
        <v>3.3799999999999998E-3</v>
      </c>
      <c r="G18" s="35">
        <v>3.5699999999999998E-3</v>
      </c>
      <c r="H18" s="35">
        <v>3.4351099999999999E-3</v>
      </c>
      <c r="I18" s="336">
        <v>3.4617033333333332E-3</v>
      </c>
      <c r="J18" s="96">
        <v>6.8999999999999999E-3</v>
      </c>
      <c r="K18" s="67">
        <v>5.0000000000000001E-4</v>
      </c>
      <c r="L18" s="35">
        <v>3.5000000000000001E-3</v>
      </c>
      <c r="M18" s="35">
        <v>1E-3</v>
      </c>
      <c r="N18" s="35">
        <v>5.0000000000000001E-4</v>
      </c>
      <c r="O18" s="35">
        <v>3.5000000000000001E-3</v>
      </c>
      <c r="P18" s="35">
        <v>4.0000000000000001E-3</v>
      </c>
      <c r="Q18" s="35">
        <v>5.7999999999999996E-3</v>
      </c>
      <c r="R18" s="35">
        <v>6.3200000000000001E-3</v>
      </c>
      <c r="S18" s="35">
        <v>7.4999999999999997E-3</v>
      </c>
      <c r="T18" s="35">
        <v>8.5000000000000006E-3</v>
      </c>
      <c r="U18" s="35">
        <v>1.0999999999999999E-2</v>
      </c>
      <c r="V18" s="134">
        <v>1.4999999999999999E-2</v>
      </c>
    </row>
    <row r="19" spans="2:22" s="1" customFormat="1">
      <c r="B19" s="76" t="s">
        <v>84</v>
      </c>
      <c r="C19" s="73">
        <v>3.0000000000000001E-3</v>
      </c>
      <c r="D19" s="35">
        <v>1.5E-3</v>
      </c>
      <c r="E19" s="63">
        <v>5.0000000000000001E-4</v>
      </c>
      <c r="F19" s="67">
        <v>2.2100000000000002E-3</v>
      </c>
      <c r="G19" s="35">
        <v>2.1299999999999999E-3</v>
      </c>
      <c r="H19" s="35">
        <v>4.6914700000000925E-3</v>
      </c>
      <c r="I19" s="336">
        <v>3.0104900000000306E-3</v>
      </c>
      <c r="J19" s="96">
        <v>1.0999999999999999E-2</v>
      </c>
      <c r="K19" s="67">
        <v>2.5000000000000001E-4</v>
      </c>
      <c r="L19" s="35">
        <v>4.0000000000000001E-3</v>
      </c>
      <c r="M19" s="35">
        <v>1E-3</v>
      </c>
      <c r="N19" s="35">
        <v>5.0000000000000001E-4</v>
      </c>
      <c r="O19" s="35">
        <v>4.0000000000000001E-3</v>
      </c>
      <c r="P19" s="35">
        <v>5.0000000000000001E-3</v>
      </c>
      <c r="Q19" s="35">
        <v>4.4999999999999997E-3</v>
      </c>
      <c r="R19" s="35">
        <v>4.7000000000000002E-3</v>
      </c>
      <c r="S19" s="35">
        <v>4.7000000000000002E-3</v>
      </c>
      <c r="T19" s="35">
        <v>5.4999999999999997E-3</v>
      </c>
      <c r="U19" s="35">
        <v>6.4999999999999997E-3</v>
      </c>
      <c r="V19" s="134">
        <v>8.0000000000000002E-3</v>
      </c>
    </row>
    <row r="20" spans="2:22" s="1" customFormat="1">
      <c r="B20" s="76" t="s">
        <v>86</v>
      </c>
      <c r="C20" s="73">
        <v>3.7500000000000001E-4</v>
      </c>
      <c r="D20" s="35">
        <v>3.7500000000000001E-4</v>
      </c>
      <c r="E20" s="63">
        <v>3.7500000000000001E-4</v>
      </c>
      <c r="F20" s="67">
        <v>4.15E-4</v>
      </c>
      <c r="G20" s="35">
        <v>4.0999999999999999E-4</v>
      </c>
      <c r="H20" s="35">
        <v>5.7092999999999998E-4</v>
      </c>
      <c r="I20" s="336">
        <v>4.9864333333333327E-4</v>
      </c>
      <c r="J20" s="96">
        <v>5.0000000000000001E-4</v>
      </c>
      <c r="K20" s="67">
        <v>3.7500000000000001E-4</v>
      </c>
      <c r="L20" s="35">
        <v>5.0000000000000001E-4</v>
      </c>
      <c r="M20" s="35">
        <v>5.0000000000000001E-4</v>
      </c>
      <c r="N20" s="35">
        <v>5.0000000000000001E-4</v>
      </c>
      <c r="O20" s="35">
        <v>5.0000000000000001E-4</v>
      </c>
      <c r="P20" s="35">
        <v>5.9999999999999995E-4</v>
      </c>
      <c r="Q20" s="35">
        <v>5.9999999999999995E-4</v>
      </c>
      <c r="R20" s="35">
        <v>6.9999999999999999E-4</v>
      </c>
      <c r="S20" s="35">
        <v>6.9999999999999999E-4</v>
      </c>
      <c r="T20" s="35">
        <v>6.9999999999999999E-4</v>
      </c>
      <c r="U20" s="35">
        <v>6.9999999999999999E-4</v>
      </c>
      <c r="V20" s="134">
        <v>8.0000000000000004E-4</v>
      </c>
    </row>
    <row r="21" spans="2:22" s="1" customFormat="1">
      <c r="B21" s="76" t="s">
        <v>88</v>
      </c>
      <c r="C21" s="73">
        <v>3.7500000000000001E-4</v>
      </c>
      <c r="D21" s="35">
        <v>3.7500000000000001E-4</v>
      </c>
      <c r="E21" s="63">
        <v>3.7500000000000001E-4</v>
      </c>
      <c r="F21" s="67">
        <v>1.2E-4</v>
      </c>
      <c r="G21" s="35">
        <v>5.1000000000000004E-4</v>
      </c>
      <c r="H21" s="35">
        <v>3.9833999999999996E-4</v>
      </c>
      <c r="I21" s="336">
        <v>2.0944666666666668E-4</v>
      </c>
      <c r="J21" s="96">
        <v>5.0000000000000001E-4</v>
      </c>
      <c r="K21" s="67">
        <v>3.7500000000000001E-4</v>
      </c>
      <c r="L21" s="35">
        <v>5.0000000000000001E-4</v>
      </c>
      <c r="M21" s="35">
        <v>5.0000000000000001E-4</v>
      </c>
      <c r="N21" s="35">
        <v>5.0000000000000001E-4</v>
      </c>
      <c r="O21" s="35">
        <v>5.0000000000000001E-4</v>
      </c>
      <c r="P21" s="35">
        <v>5.9999999999999995E-4</v>
      </c>
      <c r="Q21" s="35">
        <v>5.9999999999999995E-4</v>
      </c>
      <c r="R21" s="35">
        <v>6.9999999999999999E-4</v>
      </c>
      <c r="S21" s="35">
        <v>6.9999999999999999E-4</v>
      </c>
      <c r="T21" s="35">
        <v>6.9999999999999999E-4</v>
      </c>
      <c r="U21" s="35">
        <v>6.9999999999999999E-4</v>
      </c>
      <c r="V21" s="134">
        <v>8.0000000000000004E-4</v>
      </c>
    </row>
    <row r="22" spans="2:22" s="1" customFormat="1">
      <c r="B22" s="76" t="s">
        <v>90</v>
      </c>
      <c r="C22" s="73">
        <v>3.7500000000000001E-4</v>
      </c>
      <c r="D22" s="35">
        <v>3.7500000000000001E-4</v>
      </c>
      <c r="E22" s="63">
        <v>3.7500000000000001E-4</v>
      </c>
      <c r="F22" s="67">
        <v>0</v>
      </c>
      <c r="G22" s="35">
        <v>1.0999999999999999E-4</v>
      </c>
      <c r="H22" s="35">
        <v>2.19E-5</v>
      </c>
      <c r="I22" s="336">
        <v>7.3000000000000004E-6</v>
      </c>
      <c r="J22" s="96">
        <v>5.0000000000000001E-4</v>
      </c>
      <c r="K22" s="67">
        <v>3.7500000000000001E-4</v>
      </c>
      <c r="L22" s="35">
        <v>5.0000000000000001E-4</v>
      </c>
      <c r="M22" s="35">
        <v>5.0000000000000001E-4</v>
      </c>
      <c r="N22" s="35">
        <v>5.0000000000000001E-4</v>
      </c>
      <c r="O22" s="35">
        <v>5.0000000000000001E-4</v>
      </c>
      <c r="P22" s="35">
        <v>5.9999999999999995E-4</v>
      </c>
      <c r="Q22" s="35">
        <v>5.9999999999999995E-4</v>
      </c>
      <c r="R22" s="35">
        <v>6.9999999999999999E-4</v>
      </c>
      <c r="S22" s="35">
        <v>6.9999999999999999E-4</v>
      </c>
      <c r="T22" s="35">
        <v>6.9999999999999999E-4</v>
      </c>
      <c r="U22" s="35">
        <v>6.9999999999999999E-4</v>
      </c>
      <c r="V22" s="134">
        <v>8.0000000000000004E-4</v>
      </c>
    </row>
    <row r="23" spans="2:22" s="1" customFormat="1">
      <c r="B23" s="76" t="s">
        <v>92</v>
      </c>
      <c r="C23" s="73">
        <v>3.7500000000000001E-4</v>
      </c>
      <c r="D23" s="35">
        <v>3.7500000000000001E-4</v>
      </c>
      <c r="E23" s="63">
        <v>3.7500000000000001E-4</v>
      </c>
      <c r="F23" s="67">
        <v>1.0000000000000001E-5</v>
      </c>
      <c r="G23" s="35">
        <v>0</v>
      </c>
      <c r="H23" s="35">
        <v>6.4639999999999991E-5</v>
      </c>
      <c r="I23" s="336">
        <v>2.4879999999999996E-5</v>
      </c>
      <c r="J23" s="96">
        <v>5.0000000000000001E-4</v>
      </c>
      <c r="K23" s="67">
        <v>3.7500000000000001E-4</v>
      </c>
      <c r="L23" s="35">
        <v>5.0000000000000001E-4</v>
      </c>
      <c r="M23" s="35">
        <v>5.0000000000000001E-4</v>
      </c>
      <c r="N23" s="35">
        <v>5.0000000000000001E-4</v>
      </c>
      <c r="O23" s="35">
        <v>5.0000000000000001E-4</v>
      </c>
      <c r="P23" s="35">
        <v>5.9999999999999995E-4</v>
      </c>
      <c r="Q23" s="35">
        <v>5.9999999999999995E-4</v>
      </c>
      <c r="R23" s="35">
        <v>6.9999999999999999E-4</v>
      </c>
      <c r="S23" s="35">
        <v>6.9999999999999999E-4</v>
      </c>
      <c r="T23" s="35">
        <v>6.9999999999999999E-4</v>
      </c>
      <c r="U23" s="35">
        <v>6.9999999999999999E-4</v>
      </c>
      <c r="V23" s="134">
        <v>8.0000000000000004E-4</v>
      </c>
    </row>
    <row r="24" spans="2:22" s="1" customFormat="1">
      <c r="B24" s="76" t="s">
        <v>1</v>
      </c>
      <c r="C24" s="73">
        <v>0.01</v>
      </c>
      <c r="D24" s="35">
        <v>0.01</v>
      </c>
      <c r="E24" s="63">
        <v>0.01</v>
      </c>
      <c r="F24" s="67">
        <v>1.0000000000000001E-5</v>
      </c>
      <c r="G24" s="35">
        <v>0</v>
      </c>
      <c r="H24" s="35">
        <v>6.4639999999999991E-5</v>
      </c>
      <c r="I24" s="336">
        <v>2.4879999999999996E-5</v>
      </c>
      <c r="J24" s="96">
        <v>2.1499999999999998E-2</v>
      </c>
      <c r="K24" s="67">
        <v>0.01</v>
      </c>
      <c r="L24" s="35">
        <v>0.01</v>
      </c>
      <c r="M24" s="35">
        <v>0.01</v>
      </c>
      <c r="N24" s="35">
        <v>0.01</v>
      </c>
      <c r="O24" s="35">
        <v>0.01</v>
      </c>
      <c r="P24" s="35">
        <v>0.01</v>
      </c>
      <c r="Q24" s="35">
        <v>0.01</v>
      </c>
      <c r="R24" s="35">
        <v>0.01</v>
      </c>
      <c r="S24" s="35">
        <v>0.01</v>
      </c>
      <c r="T24" s="35">
        <v>0.01</v>
      </c>
      <c r="U24" s="35">
        <v>0.01</v>
      </c>
      <c r="V24" s="134">
        <v>0.01</v>
      </c>
    </row>
    <row r="25" spans="2:22" s="1" customFormat="1">
      <c r="B25" s="76" t="s">
        <v>95</v>
      </c>
      <c r="C25" s="73">
        <f>SUM(C9:C24)</f>
        <v>1.0002000000000002</v>
      </c>
      <c r="D25" s="35">
        <f>SUM(D9:D24)</f>
        <v>1.0001</v>
      </c>
      <c r="E25" s="63">
        <f>SUM(E9:E24)</f>
        <v>0.99999999999999989</v>
      </c>
      <c r="F25" s="67">
        <v>1.0000100000000001</v>
      </c>
      <c r="G25" s="35">
        <v>1.00041</v>
      </c>
      <c r="H25" s="35">
        <v>1.0000646400000002</v>
      </c>
      <c r="I25" s="336">
        <v>1.0000248799999998</v>
      </c>
      <c r="J25" s="96">
        <v>0.99999999999999956</v>
      </c>
      <c r="K25" s="67">
        <f>SUM(K9:K24)</f>
        <v>1</v>
      </c>
      <c r="L25" s="35">
        <f t="shared" ref="L25:O25" si="0">SUM(L9:L24)</f>
        <v>0.99999999999999967</v>
      </c>
      <c r="M25" s="35">
        <f t="shared" si="0"/>
        <v>0.99999999999999967</v>
      </c>
      <c r="N25" s="35">
        <f t="shared" si="0"/>
        <v>0.99994999999999956</v>
      </c>
      <c r="O25" s="35">
        <f t="shared" si="0"/>
        <v>0.99999999999999967</v>
      </c>
      <c r="P25" s="35">
        <f t="shared" ref="P25:T25" si="1">SUM(P9:P24)</f>
        <v>1</v>
      </c>
      <c r="Q25" s="35">
        <f t="shared" si="1"/>
        <v>1.0000000000000002</v>
      </c>
      <c r="R25" s="35">
        <f t="shared" si="1"/>
        <v>1.0000200000000004</v>
      </c>
      <c r="S25" s="35">
        <f t="shared" si="1"/>
        <v>1</v>
      </c>
      <c r="T25" s="35">
        <f t="shared" si="1"/>
        <v>1</v>
      </c>
      <c r="U25" s="35">
        <f t="shared" ref="U25:V25" si="2">SUM(U9:U24)</f>
        <v>1</v>
      </c>
      <c r="V25" s="134">
        <f t="shared" si="2"/>
        <v>1</v>
      </c>
    </row>
    <row r="26" spans="2:22" s="1" customFormat="1" ht="7.5" customHeight="1">
      <c r="B26" s="77"/>
      <c r="F26" s="68"/>
      <c r="I26" s="265"/>
      <c r="J26" s="97"/>
      <c r="K26" s="68"/>
      <c r="V26" s="108"/>
    </row>
    <row r="27" spans="2:22" s="1" customFormat="1">
      <c r="B27" s="76" t="s">
        <v>126</v>
      </c>
      <c r="C27" s="74">
        <v>1089</v>
      </c>
      <c r="D27" s="60">
        <v>1070</v>
      </c>
      <c r="E27" s="64">
        <v>1058</v>
      </c>
      <c r="F27" s="69">
        <v>1238</v>
      </c>
      <c r="G27" s="60">
        <v>1188</v>
      </c>
      <c r="H27" s="60">
        <v>1095</v>
      </c>
      <c r="I27" s="337">
        <v>1173.6666666666667</v>
      </c>
      <c r="J27" s="76">
        <v>1361</v>
      </c>
      <c r="K27" s="69">
        <v>1051</v>
      </c>
      <c r="L27" s="60">
        <v>1124</v>
      </c>
      <c r="M27" s="60">
        <v>1096</v>
      </c>
      <c r="N27" s="60">
        <v>1089</v>
      </c>
      <c r="O27" s="60">
        <v>1124</v>
      </c>
      <c r="P27" s="60">
        <v>1141</v>
      </c>
      <c r="Q27" s="60">
        <v>1170</v>
      </c>
      <c r="R27" s="60">
        <v>1185</v>
      </c>
      <c r="S27" s="60">
        <v>1210</v>
      </c>
      <c r="T27" s="60">
        <v>1248</v>
      </c>
      <c r="U27" s="60">
        <v>1282</v>
      </c>
      <c r="V27" s="135">
        <v>1338</v>
      </c>
    </row>
    <row r="28" spans="2:22" s="1" customFormat="1">
      <c r="B28" s="76" t="s">
        <v>67</v>
      </c>
      <c r="C28" s="71">
        <v>2.54</v>
      </c>
      <c r="D28" s="6">
        <v>2.35</v>
      </c>
      <c r="E28" s="61">
        <v>2.2000000000000002</v>
      </c>
      <c r="F28" s="70">
        <v>5.4</v>
      </c>
      <c r="G28" s="20">
        <v>5.8</v>
      </c>
      <c r="H28" s="20">
        <v>4.5</v>
      </c>
      <c r="I28" s="338">
        <v>5.2333333333333334</v>
      </c>
      <c r="J28" s="76">
        <v>7.9</v>
      </c>
      <c r="K28" s="65">
        <v>2.09</v>
      </c>
      <c r="L28" s="6">
        <v>3.5</v>
      </c>
      <c r="M28" s="6">
        <v>3.18</v>
      </c>
      <c r="N28" s="6">
        <v>3.1</v>
      </c>
      <c r="O28" s="6">
        <v>3.52</v>
      </c>
      <c r="P28" s="6">
        <v>3.83</v>
      </c>
      <c r="Q28" s="6">
        <v>4.3</v>
      </c>
      <c r="R28" s="6">
        <v>4.67</v>
      </c>
      <c r="S28" s="6">
        <v>5.1100000000000003</v>
      </c>
      <c r="T28" s="6">
        <v>5.82</v>
      </c>
      <c r="U28" s="6">
        <v>6.4</v>
      </c>
      <c r="V28" s="136">
        <v>7.4</v>
      </c>
    </row>
    <row r="29" spans="2:22" s="1" customFormat="1" hidden="1">
      <c r="B29" s="76" t="s">
        <v>179</v>
      </c>
      <c r="C29" s="71">
        <v>0.13780000000000001</v>
      </c>
      <c r="D29" s="6">
        <v>6.7000000000000004E-2</v>
      </c>
      <c r="E29" s="61">
        <v>2.1999999999999999E-2</v>
      </c>
      <c r="F29" s="65">
        <v>0.38296161400957246</v>
      </c>
      <c r="G29" s="6">
        <v>0.38296161400957246</v>
      </c>
      <c r="H29" s="60">
        <v>56</v>
      </c>
      <c r="I29" s="337">
        <v>51</v>
      </c>
      <c r="J29" s="76"/>
      <c r="K29" s="65">
        <v>0.01</v>
      </c>
      <c r="L29" s="6">
        <v>0.186</v>
      </c>
      <c r="M29" s="6">
        <v>4.3999999999999997E-2</v>
      </c>
      <c r="N29" s="6">
        <v>0.02</v>
      </c>
      <c r="O29" s="6">
        <v>0.18634857951064596</v>
      </c>
      <c r="P29" s="6">
        <v>0.23504573203097967</v>
      </c>
      <c r="Q29" s="6">
        <v>0.20951821879464613</v>
      </c>
      <c r="R29" s="6">
        <v>0.21921942604391789</v>
      </c>
      <c r="S29" s="6">
        <v>0.2198504415823897</v>
      </c>
      <c r="T29" s="6">
        <v>0.25852085190178015</v>
      </c>
      <c r="U29" s="6">
        <v>0.30815194460183049</v>
      </c>
      <c r="V29" s="136">
        <v>0.38296161400957246</v>
      </c>
    </row>
    <row r="30" spans="2:22" s="1" customFormat="1" ht="15.75" thickBot="1">
      <c r="B30" s="78" t="s">
        <v>253</v>
      </c>
      <c r="C30" s="91"/>
      <c r="D30" s="92"/>
      <c r="E30" s="93"/>
      <c r="F30" s="95">
        <v>9.5499999999999995E-3</v>
      </c>
      <c r="G30" s="94">
        <v>1.034E-2</v>
      </c>
      <c r="H30" s="94">
        <v>1.2082870000000093E-2</v>
      </c>
      <c r="I30" s="339">
        <v>1.0520956666666697E-2</v>
      </c>
      <c r="J30" s="98">
        <v>2.8400000000000002E-2</v>
      </c>
      <c r="K30" s="95">
        <f t="shared" ref="K30:V30" si="3">SUM(K17:K23)</f>
        <v>2.4999999999999996E-3</v>
      </c>
      <c r="L30" s="94">
        <f t="shared" si="3"/>
        <v>1.1300000000000001E-2</v>
      </c>
      <c r="M30" s="94">
        <f t="shared" si="3"/>
        <v>4.5000000000000005E-3</v>
      </c>
      <c r="N30" s="94">
        <f t="shared" si="3"/>
        <v>3.2500000000000003E-3</v>
      </c>
      <c r="O30" s="94">
        <f t="shared" si="3"/>
        <v>1.1300000000000001E-2</v>
      </c>
      <c r="P30" s="94">
        <f t="shared" si="3"/>
        <v>1.3899999999999999E-2</v>
      </c>
      <c r="Q30" s="94">
        <f t="shared" si="3"/>
        <v>1.5199999999999998E-2</v>
      </c>
      <c r="R30" s="94">
        <f t="shared" si="3"/>
        <v>1.6619999999999996E-2</v>
      </c>
      <c r="S30" s="94">
        <f t="shared" si="3"/>
        <v>1.8499999999999996E-2</v>
      </c>
      <c r="T30" s="94">
        <f t="shared" si="3"/>
        <v>2.0799999999999999E-2</v>
      </c>
      <c r="U30" s="94">
        <f t="shared" si="3"/>
        <v>2.5799999999999997E-2</v>
      </c>
      <c r="V30" s="137">
        <f t="shared" si="3"/>
        <v>3.32E-2</v>
      </c>
    </row>
    <row r="31" spans="2:22" s="1" customFormat="1" ht="15.75" hidden="1" thickBot="1">
      <c r="B31" s="82" t="s">
        <v>122</v>
      </c>
      <c r="C31" s="72">
        <v>60.18</v>
      </c>
      <c r="D31" s="8">
        <v>43</v>
      </c>
      <c r="E31" s="62">
        <v>-1</v>
      </c>
      <c r="F31" s="83" t="e">
        <f>#REF!</f>
        <v>#REF!</v>
      </c>
      <c r="G31" s="84" t="e">
        <f>#REF!</f>
        <v>#REF!</v>
      </c>
      <c r="H31" s="84" t="e">
        <f>#REF!</f>
        <v>#REF!</v>
      </c>
      <c r="I31" s="86" t="e">
        <f>#REF!</f>
        <v>#REF!</v>
      </c>
      <c r="K31" s="83">
        <v>-21</v>
      </c>
      <c r="L31" s="84">
        <v>97</v>
      </c>
      <c r="M31" s="84">
        <v>27</v>
      </c>
      <c r="N31" s="84">
        <v>-2</v>
      </c>
      <c r="O31" s="84">
        <v>97.85800443193898</v>
      </c>
      <c r="P31" s="84">
        <v>209.82802014808647</v>
      </c>
      <c r="Q31" s="84">
        <v>139.05051441259081</v>
      </c>
      <c r="R31" s="84">
        <v>162.4765814102002</v>
      </c>
      <c r="S31" s="84">
        <v>164.14116535139624</v>
      </c>
      <c r="T31" s="84">
        <v>303.92794140716649</v>
      </c>
      <c r="U31" s="84">
        <v>618.15730291645332</v>
      </c>
      <c r="V31" s="85">
        <v>1479.0568269966434</v>
      </c>
    </row>
    <row r="32" spans="2:22" s="1" customFormat="1"/>
  </sheetData>
  <pageMargins left="0.2" right="0.2" top="0.75" bottom="0.75" header="0.3" footer="0.3"/>
  <pageSetup scale="96" orientation="landscape" r:id="rId1"/>
  <ignoredErrors>
    <ignoredError sqref="K30:V3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C5F1-B821-4B4F-BDC6-6F0B3B6F7A0E}">
  <sheetPr codeName="Sheet12">
    <tabColor rgb="FFFFFF00"/>
  </sheetPr>
  <dimension ref="A5:W30"/>
  <sheetViews>
    <sheetView zoomScale="87" zoomScaleNormal="87" workbookViewId="0"/>
  </sheetViews>
  <sheetFormatPr defaultRowHeight="15"/>
  <cols>
    <col min="8" max="8" width="12.7109375" customWidth="1"/>
    <col min="9" max="9" width="13.42578125" customWidth="1"/>
  </cols>
  <sheetData>
    <row r="5" spans="1:23">
      <c r="A5" s="1"/>
      <c r="B5" s="1"/>
      <c r="C5" s="1"/>
      <c r="D5" s="1"/>
      <c r="E5" s="1"/>
      <c r="F5" s="1"/>
      <c r="G5" s="1"/>
      <c r="H5" s="1"/>
      <c r="I5" s="1"/>
      <c r="J5" s="1"/>
      <c r="K5" s="1"/>
      <c r="L5" s="1"/>
      <c r="M5" s="1"/>
      <c r="N5" s="1"/>
      <c r="O5" s="1"/>
      <c r="P5" s="1"/>
      <c r="Q5" s="1"/>
      <c r="R5" s="1"/>
      <c r="S5" s="1"/>
      <c r="T5" s="1"/>
      <c r="U5" s="1"/>
      <c r="V5" s="1"/>
      <c r="W5" s="1"/>
    </row>
    <row r="6" spans="1:23">
      <c r="A6" s="1"/>
      <c r="B6" s="1"/>
      <c r="C6" s="1"/>
      <c r="D6" s="1"/>
      <c r="E6" s="1"/>
      <c r="F6" s="1"/>
      <c r="G6" s="1"/>
      <c r="H6" s="1"/>
      <c r="I6" s="1"/>
      <c r="J6" s="1"/>
      <c r="K6" s="1"/>
      <c r="L6" s="1"/>
      <c r="M6" s="1"/>
      <c r="N6" s="1"/>
      <c r="O6" s="1"/>
      <c r="P6" s="1"/>
      <c r="Q6" s="1"/>
      <c r="R6" s="1"/>
      <c r="S6" s="1"/>
      <c r="T6" s="1"/>
      <c r="U6" s="1"/>
      <c r="V6" s="1"/>
      <c r="W6" s="1"/>
    </row>
    <row r="7" spans="1:23">
      <c r="A7" s="1"/>
      <c r="B7" s="1"/>
      <c r="C7" s="1"/>
      <c r="D7" s="1"/>
      <c r="E7" s="1"/>
      <c r="F7" s="1"/>
      <c r="G7" s="1"/>
      <c r="H7" s="1"/>
      <c r="I7" s="1"/>
      <c r="J7" s="1"/>
      <c r="K7" s="1"/>
      <c r="L7" s="1"/>
      <c r="M7" s="1"/>
      <c r="N7" s="1"/>
      <c r="O7" s="1"/>
      <c r="P7" s="1"/>
      <c r="Q7" s="1"/>
      <c r="R7" s="9"/>
      <c r="S7" s="9"/>
      <c r="T7" s="9"/>
      <c r="U7" s="9"/>
      <c r="V7" s="1"/>
      <c r="W7" s="1"/>
    </row>
    <row r="8" spans="1:23">
      <c r="A8" s="1"/>
      <c r="B8" s="139" t="s">
        <v>276</v>
      </c>
      <c r="C8" s="139" t="s">
        <v>277</v>
      </c>
      <c r="D8" s="139"/>
      <c r="E8" s="139"/>
      <c r="F8" s="1"/>
      <c r="G8" s="2"/>
      <c r="H8" s="1"/>
      <c r="I8" s="1"/>
      <c r="J8" s="4"/>
      <c r="K8" s="56"/>
      <c r="L8" s="56"/>
      <c r="M8" s="56" t="s">
        <v>468</v>
      </c>
      <c r="N8" s="56"/>
      <c r="O8" s="56"/>
      <c r="P8" s="56"/>
      <c r="Q8" s="56"/>
      <c r="R8" s="9"/>
      <c r="S8" s="1"/>
      <c r="T8" s="1"/>
      <c r="U8" s="1"/>
      <c r="V8" s="5"/>
      <c r="W8" s="1"/>
    </row>
    <row r="9" spans="1:23">
      <c r="A9" s="1"/>
      <c r="B9" s="1"/>
      <c r="C9" s="1"/>
      <c r="D9" s="1"/>
      <c r="E9" s="1"/>
      <c r="F9" s="1"/>
      <c r="G9" s="2"/>
      <c r="H9" s="1"/>
      <c r="I9" s="1"/>
      <c r="J9" s="6">
        <v>1</v>
      </c>
      <c r="K9" s="6">
        <v>1</v>
      </c>
      <c r="L9" s="225">
        <v>1</v>
      </c>
      <c r="M9" s="6"/>
      <c r="N9" s="6">
        <v>2</v>
      </c>
      <c r="O9" s="6">
        <v>2</v>
      </c>
      <c r="P9" s="6">
        <v>2</v>
      </c>
      <c r="Q9" s="6">
        <v>6</v>
      </c>
      <c r="R9" s="6">
        <v>6</v>
      </c>
      <c r="S9" s="6">
        <v>6</v>
      </c>
      <c r="T9" s="6">
        <v>7</v>
      </c>
      <c r="U9" s="6">
        <v>7</v>
      </c>
      <c r="V9" s="6">
        <v>7</v>
      </c>
      <c r="W9" s="1"/>
    </row>
    <row r="10" spans="1:23" ht="60">
      <c r="A10" s="1"/>
      <c r="B10" s="50" t="s">
        <v>182</v>
      </c>
      <c r="C10" s="48" t="s">
        <v>183</v>
      </c>
      <c r="D10" s="48" t="s">
        <v>184</v>
      </c>
      <c r="E10" s="48" t="s">
        <v>185</v>
      </c>
      <c r="F10" s="48" t="s">
        <v>186</v>
      </c>
      <c r="G10" s="340" t="s">
        <v>187</v>
      </c>
      <c r="H10" s="340" t="s">
        <v>188</v>
      </c>
      <c r="I10" s="340" t="s">
        <v>189</v>
      </c>
      <c r="J10" s="48" t="s">
        <v>229</v>
      </c>
      <c r="K10" s="48" t="s">
        <v>230</v>
      </c>
      <c r="L10" s="48" t="s">
        <v>465</v>
      </c>
      <c r="M10" s="48" t="s">
        <v>231</v>
      </c>
      <c r="N10" s="48" t="s">
        <v>232</v>
      </c>
      <c r="O10" s="48" t="s">
        <v>233</v>
      </c>
      <c r="P10" s="48" t="s">
        <v>466</v>
      </c>
      <c r="Q10" s="48" t="s">
        <v>234</v>
      </c>
      <c r="R10" s="48" t="s">
        <v>235</v>
      </c>
      <c r="S10" s="48" t="s">
        <v>467</v>
      </c>
      <c r="T10" s="48" t="s">
        <v>236</v>
      </c>
      <c r="U10" s="48" t="s">
        <v>469</v>
      </c>
      <c r="V10" s="48" t="s">
        <v>470</v>
      </c>
      <c r="W10" s="1"/>
    </row>
    <row r="11" spans="1:23">
      <c r="A11" s="1"/>
      <c r="B11" s="53"/>
      <c r="C11" s="49"/>
      <c r="D11" s="49"/>
      <c r="E11" s="49"/>
      <c r="F11" s="49"/>
      <c r="G11" s="341"/>
      <c r="H11" s="341"/>
      <c r="I11" s="341"/>
      <c r="J11" s="51"/>
      <c r="K11" s="51"/>
      <c r="L11" s="1"/>
      <c r="M11" s="51"/>
      <c r="N11" s="51"/>
      <c r="O11" s="51"/>
      <c r="P11" s="51"/>
      <c r="Q11" s="51"/>
      <c r="R11" s="51"/>
      <c r="S11" s="51"/>
      <c r="T11" s="51"/>
      <c r="U11" s="51"/>
      <c r="V11" s="51"/>
      <c r="W11" s="1"/>
    </row>
    <row r="12" spans="1:23">
      <c r="A12" s="1"/>
      <c r="B12" s="42" t="s">
        <v>190</v>
      </c>
      <c r="C12" s="42">
        <v>61</v>
      </c>
      <c r="D12" s="42">
        <v>31</v>
      </c>
      <c r="E12" s="42">
        <f t="shared" ref="E12:E23" si="0">C12-D12</f>
        <v>30</v>
      </c>
      <c r="F12" s="42">
        <v>46</v>
      </c>
      <c r="G12" s="42">
        <v>0.67</v>
      </c>
      <c r="H12" s="42" t="s">
        <v>191</v>
      </c>
      <c r="I12" s="42" t="s">
        <v>192</v>
      </c>
      <c r="J12" s="42">
        <f t="shared" ref="J12:J23" si="1">C12+40</f>
        <v>101</v>
      </c>
      <c r="K12" s="42">
        <f t="shared" ref="K12:K23" si="2">D12+40</f>
        <v>71</v>
      </c>
      <c r="L12" s="226">
        <f t="shared" ref="L12:L23" si="3">(J12+K12)/2</f>
        <v>86</v>
      </c>
      <c r="M12" s="42">
        <f t="shared" ref="M12:M23" si="4">F12</f>
        <v>46</v>
      </c>
      <c r="N12" s="42">
        <f t="shared" ref="N12:N23" si="5">J12-12</f>
        <v>89</v>
      </c>
      <c r="O12" s="42">
        <f t="shared" ref="O12:O23" si="6">K12-12</f>
        <v>59</v>
      </c>
      <c r="P12" s="226">
        <f t="shared" ref="P12:P23" si="7">(N12+O12)/2</f>
        <v>74</v>
      </c>
      <c r="Q12" s="42">
        <f t="shared" ref="Q12:Q23" si="8">J12</f>
        <v>101</v>
      </c>
      <c r="R12" s="42">
        <f t="shared" ref="R12:R23" si="9">K12</f>
        <v>71</v>
      </c>
      <c r="S12" s="226">
        <f t="shared" ref="S12:S23" si="10">(Q12+R12)/2</f>
        <v>86</v>
      </c>
      <c r="T12" s="42">
        <f t="shared" ref="T12:T23" si="11">Q12-18</f>
        <v>83</v>
      </c>
      <c r="U12" s="42">
        <f t="shared" ref="U12:U23" si="12">R12-18</f>
        <v>53</v>
      </c>
      <c r="V12" s="226">
        <f t="shared" ref="V12:V23" si="13">(T12+U12)/2</f>
        <v>68</v>
      </c>
      <c r="W12" s="1"/>
    </row>
    <row r="13" spans="1:23">
      <c r="A13" s="1"/>
      <c r="B13" s="42" t="s">
        <v>193</v>
      </c>
      <c r="C13" s="42">
        <v>66</v>
      </c>
      <c r="D13" s="42">
        <v>35</v>
      </c>
      <c r="E13" s="42">
        <f t="shared" si="0"/>
        <v>31</v>
      </c>
      <c r="F13" s="42">
        <v>51</v>
      </c>
      <c r="G13" s="42">
        <v>0.6</v>
      </c>
      <c r="H13" s="42" t="s">
        <v>194</v>
      </c>
      <c r="I13" s="42" t="s">
        <v>195</v>
      </c>
      <c r="J13" s="42">
        <f t="shared" si="1"/>
        <v>106</v>
      </c>
      <c r="K13" s="42">
        <f t="shared" si="2"/>
        <v>75</v>
      </c>
      <c r="L13" s="226">
        <f t="shared" si="3"/>
        <v>90.5</v>
      </c>
      <c r="M13" s="42">
        <f t="shared" si="4"/>
        <v>51</v>
      </c>
      <c r="N13" s="42">
        <f t="shared" si="5"/>
        <v>94</v>
      </c>
      <c r="O13" s="42">
        <f t="shared" si="6"/>
        <v>63</v>
      </c>
      <c r="P13" s="226">
        <f t="shared" si="7"/>
        <v>78.5</v>
      </c>
      <c r="Q13" s="42">
        <f t="shared" si="8"/>
        <v>106</v>
      </c>
      <c r="R13" s="42">
        <f t="shared" si="9"/>
        <v>75</v>
      </c>
      <c r="S13" s="226">
        <f t="shared" si="10"/>
        <v>90.5</v>
      </c>
      <c r="T13" s="42">
        <f t="shared" si="11"/>
        <v>88</v>
      </c>
      <c r="U13" s="42">
        <f t="shared" si="12"/>
        <v>57</v>
      </c>
      <c r="V13" s="226">
        <f t="shared" si="13"/>
        <v>72.5</v>
      </c>
      <c r="W13" s="1"/>
    </row>
    <row r="14" spans="1:23">
      <c r="A14" s="1"/>
      <c r="B14" s="42" t="s">
        <v>196</v>
      </c>
      <c r="C14" s="42">
        <v>74</v>
      </c>
      <c r="D14" s="42">
        <v>42</v>
      </c>
      <c r="E14" s="42">
        <f t="shared" si="0"/>
        <v>32</v>
      </c>
      <c r="F14" s="42">
        <v>58</v>
      </c>
      <c r="G14" s="42">
        <v>0.69</v>
      </c>
      <c r="H14" s="42" t="s">
        <v>197</v>
      </c>
      <c r="I14" s="42" t="s">
        <v>198</v>
      </c>
      <c r="J14" s="42">
        <f t="shared" si="1"/>
        <v>114</v>
      </c>
      <c r="K14" s="42">
        <f t="shared" si="2"/>
        <v>82</v>
      </c>
      <c r="L14" s="226">
        <f t="shared" si="3"/>
        <v>98</v>
      </c>
      <c r="M14" s="42">
        <f t="shared" si="4"/>
        <v>58</v>
      </c>
      <c r="N14" s="42">
        <f t="shared" si="5"/>
        <v>102</v>
      </c>
      <c r="O14" s="42">
        <f t="shared" si="6"/>
        <v>70</v>
      </c>
      <c r="P14" s="226">
        <f t="shared" si="7"/>
        <v>86</v>
      </c>
      <c r="Q14" s="42">
        <f t="shared" si="8"/>
        <v>114</v>
      </c>
      <c r="R14" s="42">
        <f t="shared" si="9"/>
        <v>82</v>
      </c>
      <c r="S14" s="226">
        <f t="shared" si="10"/>
        <v>98</v>
      </c>
      <c r="T14" s="42">
        <f t="shared" si="11"/>
        <v>96</v>
      </c>
      <c r="U14" s="42">
        <f t="shared" si="12"/>
        <v>64</v>
      </c>
      <c r="V14" s="226">
        <f t="shared" si="13"/>
        <v>80</v>
      </c>
      <c r="W14" s="1"/>
    </row>
    <row r="15" spans="1:23">
      <c r="A15" s="1"/>
      <c r="B15" s="42" t="s">
        <v>199</v>
      </c>
      <c r="C15" s="42">
        <v>83</v>
      </c>
      <c r="D15" s="42">
        <v>50</v>
      </c>
      <c r="E15" s="42">
        <f t="shared" si="0"/>
        <v>33</v>
      </c>
      <c r="F15" s="42">
        <v>67</v>
      </c>
      <c r="G15" s="42">
        <v>0.71</v>
      </c>
      <c r="H15" s="42" t="s">
        <v>200</v>
      </c>
      <c r="I15" s="42" t="s">
        <v>201</v>
      </c>
      <c r="J15" s="42">
        <f t="shared" si="1"/>
        <v>123</v>
      </c>
      <c r="K15" s="42">
        <f t="shared" si="2"/>
        <v>90</v>
      </c>
      <c r="L15" s="226">
        <f t="shared" si="3"/>
        <v>106.5</v>
      </c>
      <c r="M15" s="42">
        <f t="shared" si="4"/>
        <v>67</v>
      </c>
      <c r="N15" s="42">
        <f t="shared" si="5"/>
        <v>111</v>
      </c>
      <c r="O15" s="42">
        <f t="shared" si="6"/>
        <v>78</v>
      </c>
      <c r="P15" s="226">
        <f t="shared" si="7"/>
        <v>94.5</v>
      </c>
      <c r="Q15" s="42">
        <f t="shared" si="8"/>
        <v>123</v>
      </c>
      <c r="R15" s="42">
        <f t="shared" si="9"/>
        <v>90</v>
      </c>
      <c r="S15" s="226">
        <f t="shared" si="10"/>
        <v>106.5</v>
      </c>
      <c r="T15" s="42">
        <f t="shared" si="11"/>
        <v>105</v>
      </c>
      <c r="U15" s="42">
        <f t="shared" si="12"/>
        <v>72</v>
      </c>
      <c r="V15" s="226">
        <f t="shared" si="13"/>
        <v>88.5</v>
      </c>
      <c r="W15" s="1"/>
    </row>
    <row r="16" spans="1:23">
      <c r="A16" s="1"/>
      <c r="B16" s="42" t="s">
        <v>202</v>
      </c>
      <c r="C16" s="42">
        <v>90</v>
      </c>
      <c r="D16" s="42">
        <v>60</v>
      </c>
      <c r="E16" s="42">
        <f t="shared" si="0"/>
        <v>30</v>
      </c>
      <c r="F16" s="42">
        <v>75</v>
      </c>
      <c r="G16" s="42">
        <v>2</v>
      </c>
      <c r="H16" s="42" t="s">
        <v>203</v>
      </c>
      <c r="I16" s="42" t="s">
        <v>204</v>
      </c>
      <c r="J16" s="42">
        <f t="shared" si="1"/>
        <v>130</v>
      </c>
      <c r="K16" s="42">
        <f t="shared" si="2"/>
        <v>100</v>
      </c>
      <c r="L16" s="226">
        <f t="shared" si="3"/>
        <v>115</v>
      </c>
      <c r="M16" s="42">
        <f t="shared" si="4"/>
        <v>75</v>
      </c>
      <c r="N16" s="42">
        <f t="shared" si="5"/>
        <v>118</v>
      </c>
      <c r="O16" s="42">
        <f t="shared" si="6"/>
        <v>88</v>
      </c>
      <c r="P16" s="226">
        <f t="shared" si="7"/>
        <v>103</v>
      </c>
      <c r="Q16" s="42">
        <f t="shared" si="8"/>
        <v>130</v>
      </c>
      <c r="R16" s="42">
        <f t="shared" si="9"/>
        <v>100</v>
      </c>
      <c r="S16" s="226">
        <f t="shared" si="10"/>
        <v>115</v>
      </c>
      <c r="T16" s="42">
        <f t="shared" si="11"/>
        <v>112</v>
      </c>
      <c r="U16" s="42">
        <f t="shared" si="12"/>
        <v>82</v>
      </c>
      <c r="V16" s="226">
        <f t="shared" si="13"/>
        <v>97</v>
      </c>
      <c r="W16" s="1"/>
    </row>
    <row r="17" spans="1:23">
      <c r="A17" s="1"/>
      <c r="B17" s="42" t="s">
        <v>205</v>
      </c>
      <c r="C17" s="42">
        <v>95</v>
      </c>
      <c r="D17" s="42">
        <v>67</v>
      </c>
      <c r="E17" s="42">
        <f t="shared" si="0"/>
        <v>28</v>
      </c>
      <c r="F17" s="42">
        <v>81</v>
      </c>
      <c r="G17" s="42">
        <v>1.56</v>
      </c>
      <c r="H17" s="42" t="s">
        <v>206</v>
      </c>
      <c r="I17" s="42" t="s">
        <v>207</v>
      </c>
      <c r="J17" s="42">
        <f t="shared" si="1"/>
        <v>135</v>
      </c>
      <c r="K17" s="42">
        <f t="shared" si="2"/>
        <v>107</v>
      </c>
      <c r="L17" s="226">
        <f t="shared" si="3"/>
        <v>121</v>
      </c>
      <c r="M17" s="42">
        <f t="shared" si="4"/>
        <v>81</v>
      </c>
      <c r="N17" s="42">
        <f t="shared" si="5"/>
        <v>123</v>
      </c>
      <c r="O17" s="42">
        <f t="shared" si="6"/>
        <v>95</v>
      </c>
      <c r="P17" s="226">
        <f t="shared" si="7"/>
        <v>109</v>
      </c>
      <c r="Q17" s="42">
        <f t="shared" si="8"/>
        <v>135</v>
      </c>
      <c r="R17" s="42">
        <f t="shared" si="9"/>
        <v>107</v>
      </c>
      <c r="S17" s="226">
        <f t="shared" si="10"/>
        <v>121</v>
      </c>
      <c r="T17" s="42">
        <f t="shared" si="11"/>
        <v>117</v>
      </c>
      <c r="U17" s="42">
        <f t="shared" si="12"/>
        <v>89</v>
      </c>
      <c r="V17" s="226">
        <f t="shared" si="13"/>
        <v>103</v>
      </c>
      <c r="W17" s="1"/>
    </row>
    <row r="18" spans="1:23">
      <c r="A18" s="1"/>
      <c r="B18" s="42" t="s">
        <v>208</v>
      </c>
      <c r="C18" s="42">
        <v>96</v>
      </c>
      <c r="D18" s="42">
        <v>70</v>
      </c>
      <c r="E18" s="42">
        <f t="shared" si="0"/>
        <v>26</v>
      </c>
      <c r="F18" s="42">
        <v>83</v>
      </c>
      <c r="G18" s="42">
        <v>1.5</v>
      </c>
      <c r="H18" s="42" t="s">
        <v>209</v>
      </c>
      <c r="I18" s="42" t="s">
        <v>210</v>
      </c>
      <c r="J18" s="42">
        <f t="shared" si="1"/>
        <v>136</v>
      </c>
      <c r="K18" s="42">
        <f t="shared" si="2"/>
        <v>110</v>
      </c>
      <c r="L18" s="226">
        <f t="shared" si="3"/>
        <v>123</v>
      </c>
      <c r="M18" s="42">
        <f t="shared" si="4"/>
        <v>83</v>
      </c>
      <c r="N18" s="42">
        <f t="shared" si="5"/>
        <v>124</v>
      </c>
      <c r="O18" s="42">
        <f t="shared" si="6"/>
        <v>98</v>
      </c>
      <c r="P18" s="226">
        <f t="shared" si="7"/>
        <v>111</v>
      </c>
      <c r="Q18" s="42">
        <f t="shared" si="8"/>
        <v>136</v>
      </c>
      <c r="R18" s="42">
        <f t="shared" si="9"/>
        <v>110</v>
      </c>
      <c r="S18" s="226">
        <f t="shared" si="10"/>
        <v>123</v>
      </c>
      <c r="T18" s="42">
        <f t="shared" si="11"/>
        <v>118</v>
      </c>
      <c r="U18" s="42">
        <f t="shared" si="12"/>
        <v>92</v>
      </c>
      <c r="V18" s="226">
        <f t="shared" si="13"/>
        <v>105</v>
      </c>
      <c r="W18" s="1"/>
    </row>
    <row r="19" spans="1:23">
      <c r="A19" s="1"/>
      <c r="B19" s="42" t="s">
        <v>211</v>
      </c>
      <c r="C19" s="42">
        <v>95</v>
      </c>
      <c r="D19" s="42">
        <v>69</v>
      </c>
      <c r="E19" s="42">
        <f t="shared" si="0"/>
        <v>26</v>
      </c>
      <c r="F19" s="42">
        <v>82</v>
      </c>
      <c r="G19" s="42">
        <v>2.14</v>
      </c>
      <c r="H19" s="42" t="s">
        <v>212</v>
      </c>
      <c r="I19" s="42" t="s">
        <v>213</v>
      </c>
      <c r="J19" s="42">
        <f t="shared" si="1"/>
        <v>135</v>
      </c>
      <c r="K19" s="42">
        <f t="shared" si="2"/>
        <v>109</v>
      </c>
      <c r="L19" s="226">
        <f t="shared" si="3"/>
        <v>122</v>
      </c>
      <c r="M19" s="42">
        <f t="shared" si="4"/>
        <v>82</v>
      </c>
      <c r="N19" s="42">
        <f t="shared" si="5"/>
        <v>123</v>
      </c>
      <c r="O19" s="42">
        <f t="shared" si="6"/>
        <v>97</v>
      </c>
      <c r="P19" s="226">
        <f t="shared" si="7"/>
        <v>110</v>
      </c>
      <c r="Q19" s="42">
        <f t="shared" si="8"/>
        <v>135</v>
      </c>
      <c r="R19" s="42">
        <f t="shared" si="9"/>
        <v>109</v>
      </c>
      <c r="S19" s="226">
        <f t="shared" si="10"/>
        <v>122</v>
      </c>
      <c r="T19" s="42">
        <f t="shared" si="11"/>
        <v>117</v>
      </c>
      <c r="U19" s="42">
        <f t="shared" si="12"/>
        <v>91</v>
      </c>
      <c r="V19" s="226">
        <f t="shared" si="13"/>
        <v>104</v>
      </c>
      <c r="W19" s="1"/>
    </row>
    <row r="20" spans="1:23">
      <c r="A20" s="1"/>
      <c r="B20" s="42" t="s">
        <v>214</v>
      </c>
      <c r="C20" s="42">
        <v>89</v>
      </c>
      <c r="D20" s="42">
        <v>62</v>
      </c>
      <c r="E20" s="42">
        <f t="shared" si="0"/>
        <v>27</v>
      </c>
      <c r="F20" s="42">
        <v>76</v>
      </c>
      <c r="G20" s="42">
        <v>1.99</v>
      </c>
      <c r="H20" s="42" t="s">
        <v>215</v>
      </c>
      <c r="I20" s="42" t="s">
        <v>216</v>
      </c>
      <c r="J20" s="42">
        <f t="shared" si="1"/>
        <v>129</v>
      </c>
      <c r="K20" s="42">
        <f t="shared" si="2"/>
        <v>102</v>
      </c>
      <c r="L20" s="226">
        <f t="shared" si="3"/>
        <v>115.5</v>
      </c>
      <c r="M20" s="42">
        <f t="shared" si="4"/>
        <v>76</v>
      </c>
      <c r="N20" s="42">
        <f t="shared" si="5"/>
        <v>117</v>
      </c>
      <c r="O20" s="42">
        <f t="shared" si="6"/>
        <v>90</v>
      </c>
      <c r="P20" s="226">
        <f t="shared" si="7"/>
        <v>103.5</v>
      </c>
      <c r="Q20" s="42">
        <f t="shared" si="8"/>
        <v>129</v>
      </c>
      <c r="R20" s="42">
        <f t="shared" si="9"/>
        <v>102</v>
      </c>
      <c r="S20" s="226">
        <f t="shared" si="10"/>
        <v>115.5</v>
      </c>
      <c r="T20" s="42">
        <f t="shared" si="11"/>
        <v>111</v>
      </c>
      <c r="U20" s="42">
        <f t="shared" si="12"/>
        <v>84</v>
      </c>
      <c r="V20" s="226">
        <f t="shared" si="13"/>
        <v>97.5</v>
      </c>
      <c r="W20" s="1"/>
    </row>
    <row r="21" spans="1:23">
      <c r="A21" s="1"/>
      <c r="B21" s="42" t="s">
        <v>217</v>
      </c>
      <c r="C21" s="42">
        <v>81</v>
      </c>
      <c r="D21" s="42">
        <v>53</v>
      </c>
      <c r="E21" s="42">
        <f t="shared" si="0"/>
        <v>28</v>
      </c>
      <c r="F21" s="42">
        <v>67</v>
      </c>
      <c r="G21" s="42">
        <v>1.52</v>
      </c>
      <c r="H21" s="42" t="s">
        <v>218</v>
      </c>
      <c r="I21" s="42" t="s">
        <v>219</v>
      </c>
      <c r="J21" s="42">
        <f t="shared" si="1"/>
        <v>121</v>
      </c>
      <c r="K21" s="42">
        <f t="shared" si="2"/>
        <v>93</v>
      </c>
      <c r="L21" s="226">
        <f t="shared" si="3"/>
        <v>107</v>
      </c>
      <c r="M21" s="42">
        <f t="shared" si="4"/>
        <v>67</v>
      </c>
      <c r="N21" s="42">
        <f t="shared" si="5"/>
        <v>109</v>
      </c>
      <c r="O21" s="42">
        <f t="shared" si="6"/>
        <v>81</v>
      </c>
      <c r="P21" s="226">
        <f t="shared" si="7"/>
        <v>95</v>
      </c>
      <c r="Q21" s="42">
        <f t="shared" si="8"/>
        <v>121</v>
      </c>
      <c r="R21" s="42">
        <f t="shared" si="9"/>
        <v>93</v>
      </c>
      <c r="S21" s="226">
        <f t="shared" si="10"/>
        <v>107</v>
      </c>
      <c r="T21" s="42">
        <f t="shared" si="11"/>
        <v>103</v>
      </c>
      <c r="U21" s="42">
        <f t="shared" si="12"/>
        <v>75</v>
      </c>
      <c r="V21" s="226">
        <f t="shared" si="13"/>
        <v>89</v>
      </c>
      <c r="W21" s="1"/>
    </row>
    <row r="22" spans="1:23">
      <c r="A22" s="1"/>
      <c r="B22" s="42" t="s">
        <v>220</v>
      </c>
      <c r="C22" s="42">
        <v>69</v>
      </c>
      <c r="D22" s="42">
        <v>40</v>
      </c>
      <c r="E22" s="42">
        <f t="shared" si="0"/>
        <v>29</v>
      </c>
      <c r="F22" s="42">
        <v>55</v>
      </c>
      <c r="G22" s="42">
        <v>0.9</v>
      </c>
      <c r="H22" s="42" t="s">
        <v>221</v>
      </c>
      <c r="I22" s="42" t="s">
        <v>222</v>
      </c>
      <c r="J22" s="42">
        <f t="shared" si="1"/>
        <v>109</v>
      </c>
      <c r="K22" s="42">
        <f t="shared" si="2"/>
        <v>80</v>
      </c>
      <c r="L22" s="226">
        <f t="shared" si="3"/>
        <v>94.5</v>
      </c>
      <c r="M22" s="42">
        <f t="shared" si="4"/>
        <v>55</v>
      </c>
      <c r="N22" s="42">
        <f t="shared" si="5"/>
        <v>97</v>
      </c>
      <c r="O22" s="42">
        <f t="shared" si="6"/>
        <v>68</v>
      </c>
      <c r="P22" s="226">
        <f t="shared" si="7"/>
        <v>82.5</v>
      </c>
      <c r="Q22" s="42">
        <f t="shared" si="8"/>
        <v>109</v>
      </c>
      <c r="R22" s="42">
        <f t="shared" si="9"/>
        <v>80</v>
      </c>
      <c r="S22" s="226">
        <f t="shared" si="10"/>
        <v>94.5</v>
      </c>
      <c r="T22" s="42">
        <f t="shared" si="11"/>
        <v>91</v>
      </c>
      <c r="U22" s="42">
        <f t="shared" si="12"/>
        <v>62</v>
      </c>
      <c r="V22" s="226">
        <f t="shared" si="13"/>
        <v>76.5</v>
      </c>
      <c r="W22" s="1"/>
    </row>
    <row r="23" spans="1:23">
      <c r="A23" s="1"/>
      <c r="B23" s="42" t="s">
        <v>223</v>
      </c>
      <c r="C23" s="42">
        <v>61</v>
      </c>
      <c r="D23" s="42">
        <v>32</v>
      </c>
      <c r="E23" s="42">
        <f t="shared" si="0"/>
        <v>29</v>
      </c>
      <c r="F23" s="42">
        <v>47</v>
      </c>
      <c r="G23" s="42">
        <v>0.54</v>
      </c>
      <c r="H23" s="42" t="s">
        <v>224</v>
      </c>
      <c r="I23" s="42" t="s">
        <v>225</v>
      </c>
      <c r="J23" s="42">
        <f t="shared" si="1"/>
        <v>101</v>
      </c>
      <c r="K23" s="42">
        <f t="shared" si="2"/>
        <v>72</v>
      </c>
      <c r="L23" s="226">
        <f t="shared" si="3"/>
        <v>86.5</v>
      </c>
      <c r="M23" s="42">
        <f t="shared" si="4"/>
        <v>47</v>
      </c>
      <c r="N23" s="42">
        <f t="shared" si="5"/>
        <v>89</v>
      </c>
      <c r="O23" s="42">
        <f t="shared" si="6"/>
        <v>60</v>
      </c>
      <c r="P23" s="226">
        <f t="shared" si="7"/>
        <v>74.5</v>
      </c>
      <c r="Q23" s="42">
        <f t="shared" si="8"/>
        <v>101</v>
      </c>
      <c r="R23" s="42">
        <f t="shared" si="9"/>
        <v>72</v>
      </c>
      <c r="S23" s="226">
        <f t="shared" si="10"/>
        <v>86.5</v>
      </c>
      <c r="T23" s="42">
        <f t="shared" si="11"/>
        <v>83</v>
      </c>
      <c r="U23" s="42">
        <f t="shared" si="12"/>
        <v>54</v>
      </c>
      <c r="V23" s="226">
        <f t="shared" si="13"/>
        <v>68.5</v>
      </c>
      <c r="W23" s="1"/>
    </row>
    <row r="24" spans="1:23">
      <c r="A24" s="1"/>
      <c r="B24" s="54" t="s">
        <v>226</v>
      </c>
      <c r="C24" s="55">
        <f>AVERAGE(C12:C23)</f>
        <v>80</v>
      </c>
      <c r="D24" s="55">
        <f>AVERAGE(D12:D23)</f>
        <v>50.916666666666664</v>
      </c>
      <c r="E24" s="55">
        <f>AVERAGE(E12:E23)</f>
        <v>29.083333333333332</v>
      </c>
      <c r="F24" s="55">
        <f>AVERAGE(F12:F23)</f>
        <v>65.666666666666671</v>
      </c>
      <c r="G24" s="54">
        <f>SUM(G12:G23)</f>
        <v>14.82</v>
      </c>
      <c r="H24" s="54"/>
      <c r="I24" s="54"/>
      <c r="J24" s="55">
        <f t="shared" ref="J24:V24" si="14">AVERAGE(J12:J23)</f>
        <v>120</v>
      </c>
      <c r="K24" s="55">
        <f t="shared" si="14"/>
        <v>90.916666666666671</v>
      </c>
      <c r="L24" s="55">
        <f t="shared" si="14"/>
        <v>105.45833333333333</v>
      </c>
      <c r="M24" s="55">
        <f t="shared" si="14"/>
        <v>65.666666666666671</v>
      </c>
      <c r="N24" s="55">
        <f t="shared" si="14"/>
        <v>108</v>
      </c>
      <c r="O24" s="55">
        <f t="shared" si="14"/>
        <v>78.916666666666671</v>
      </c>
      <c r="P24" s="55">
        <f t="shared" si="14"/>
        <v>93.458333333333329</v>
      </c>
      <c r="Q24" s="55">
        <f t="shared" si="14"/>
        <v>120</v>
      </c>
      <c r="R24" s="55">
        <f t="shared" si="14"/>
        <v>90.916666666666671</v>
      </c>
      <c r="S24" s="55">
        <f t="shared" si="14"/>
        <v>105.45833333333333</v>
      </c>
      <c r="T24" s="55">
        <f t="shared" si="14"/>
        <v>102</v>
      </c>
      <c r="U24" s="55">
        <f t="shared" si="14"/>
        <v>72.916666666666671</v>
      </c>
      <c r="V24" s="55">
        <f t="shared" si="14"/>
        <v>87.458333333333329</v>
      </c>
      <c r="W24" s="1"/>
    </row>
    <row r="25" spans="1:23">
      <c r="A25" s="1"/>
      <c r="B25" s="1"/>
      <c r="C25" s="1"/>
      <c r="D25" s="1"/>
      <c r="E25" s="1"/>
      <c r="F25" s="1"/>
      <c r="G25" s="1"/>
      <c r="H25" s="1"/>
      <c r="I25" s="1"/>
      <c r="J25" s="1"/>
      <c r="K25" s="1"/>
      <c r="L25" s="1"/>
      <c r="M25" s="1"/>
      <c r="N25" s="1"/>
      <c r="O25" s="1"/>
      <c r="P25" s="1"/>
      <c r="Q25" s="1"/>
      <c r="R25" s="1"/>
      <c r="S25" s="1"/>
      <c r="T25" s="1"/>
      <c r="U25" s="1"/>
      <c r="V25" s="1"/>
      <c r="W25" s="1"/>
    </row>
    <row r="26" spans="1:23">
      <c r="A26" s="1"/>
      <c r="B26" s="1"/>
      <c r="C26" s="1" t="s">
        <v>275</v>
      </c>
      <c r="D26" s="1"/>
      <c r="E26" s="1"/>
      <c r="F26" s="1"/>
      <c r="G26" s="1"/>
      <c r="H26" s="1"/>
      <c r="I26" s="1"/>
      <c r="J26" s="1"/>
      <c r="K26" s="1"/>
      <c r="L26" s="1"/>
      <c r="M26" s="1"/>
      <c r="N26" s="1"/>
      <c r="O26" s="1"/>
      <c r="P26" s="1"/>
      <c r="Q26" s="1"/>
      <c r="R26" s="1"/>
      <c r="S26" s="1"/>
      <c r="T26" s="1"/>
      <c r="U26" s="1"/>
      <c r="V26" s="1"/>
      <c r="W26" s="1"/>
    </row>
    <row r="27" spans="1:23">
      <c r="A27" s="1"/>
      <c r="B27" s="1"/>
      <c r="C27" s="1"/>
      <c r="D27" s="1"/>
      <c r="E27" s="1"/>
      <c r="F27" s="1"/>
      <c r="G27" s="1"/>
      <c r="H27" s="1"/>
      <c r="I27" s="1"/>
      <c r="J27" s="1"/>
      <c r="K27" s="1"/>
      <c r="L27" s="1"/>
      <c r="M27" s="1"/>
      <c r="N27" s="1"/>
      <c r="O27" s="1"/>
      <c r="P27" s="1"/>
      <c r="Q27" s="1"/>
      <c r="R27" s="1"/>
      <c r="S27" s="1"/>
      <c r="T27" s="1"/>
      <c r="U27" s="1"/>
      <c r="V27" s="1"/>
      <c r="W27" s="1"/>
    </row>
    <row r="28" spans="1:23">
      <c r="A28" s="1"/>
      <c r="B28" s="1"/>
      <c r="C28" s="1"/>
      <c r="D28" s="1"/>
      <c r="E28" s="1"/>
      <c r="F28" s="1"/>
      <c r="G28" s="1"/>
      <c r="H28" s="1"/>
      <c r="I28" s="1"/>
      <c r="J28" s="1"/>
      <c r="K28" s="1"/>
      <c r="L28" s="1"/>
      <c r="M28" s="1"/>
      <c r="N28" s="1"/>
      <c r="O28" s="1"/>
      <c r="P28" s="1"/>
      <c r="Q28" s="1"/>
      <c r="R28" s="1"/>
      <c r="S28" s="1"/>
      <c r="T28" s="1"/>
      <c r="U28" s="1"/>
      <c r="V28" s="1"/>
      <c r="W28" s="1"/>
    </row>
    <row r="29" spans="1:23">
      <c r="A29" s="1"/>
      <c r="B29" s="1"/>
      <c r="C29" s="1"/>
      <c r="D29" s="1"/>
      <c r="E29" s="1"/>
      <c r="F29" s="1"/>
      <c r="G29" s="1"/>
      <c r="H29" s="1"/>
      <c r="I29" s="1"/>
      <c r="J29" s="1"/>
      <c r="K29" s="1"/>
      <c r="L29" s="1"/>
      <c r="M29" s="1"/>
      <c r="N29" s="1"/>
      <c r="O29" s="1"/>
      <c r="P29" s="1"/>
      <c r="Q29" s="1"/>
      <c r="R29" s="1"/>
      <c r="S29" s="1"/>
      <c r="T29" s="1"/>
      <c r="U29" s="1"/>
      <c r="V29" s="1"/>
      <c r="W29" s="1"/>
    </row>
    <row r="30" spans="1:23">
      <c r="A30" s="1"/>
      <c r="B30" s="1"/>
      <c r="C30" s="1"/>
      <c r="D30" s="1"/>
      <c r="E30" s="1"/>
      <c r="F30" s="1"/>
      <c r="G30" s="1"/>
      <c r="H30" s="1"/>
      <c r="I30" s="1"/>
      <c r="J30" s="1"/>
      <c r="K30" s="1"/>
      <c r="L30" s="1"/>
      <c r="M30" s="1"/>
      <c r="N30" s="1"/>
      <c r="O30" s="1"/>
      <c r="P30" s="1"/>
      <c r="Q30" s="1"/>
      <c r="R30" s="1"/>
      <c r="S30" s="1"/>
      <c r="T30" s="1"/>
      <c r="U30" s="1"/>
      <c r="V30" s="1"/>
      <c r="W30" s="1"/>
    </row>
  </sheetData>
  <mergeCells count="3">
    <mergeCell ref="H10:H11"/>
    <mergeCell ref="I10:I11"/>
    <mergeCell ref="G10:G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842E2-C1EF-42F8-B0E9-9B5659D28BD1}">
  <sheetPr>
    <tabColor theme="5" tint="0.39997558519241921"/>
  </sheetPr>
  <dimension ref="A1:P279"/>
  <sheetViews>
    <sheetView zoomScale="109" zoomScaleNormal="100" workbookViewId="0"/>
  </sheetViews>
  <sheetFormatPr defaultRowHeight="15"/>
  <cols>
    <col min="1" max="1" width="4.5703125" style="1" customWidth="1"/>
    <col min="2" max="2" width="10.5703125" style="1" bestFit="1" customWidth="1"/>
    <col min="3" max="4" width="10.140625" style="1" customWidth="1"/>
    <col min="5" max="5" width="11.42578125" customWidth="1"/>
    <col min="6" max="6" width="10" style="1" customWidth="1"/>
    <col min="7" max="7" width="19.140625" customWidth="1"/>
    <col min="8" max="8" width="13.7109375" customWidth="1"/>
    <col min="9" max="9" width="9.140625" customWidth="1"/>
    <col min="10" max="10" width="11.5703125" customWidth="1"/>
    <col min="11" max="11" width="12" bestFit="1" customWidth="1"/>
    <col min="12" max="12" width="11" customWidth="1"/>
    <col min="13" max="13" width="12" bestFit="1" customWidth="1"/>
    <col min="15" max="16" width="12" bestFit="1" customWidth="1"/>
    <col min="17" max="17" width="14.7109375" customWidth="1"/>
    <col min="18" max="18" width="13.7109375" customWidth="1"/>
    <col min="19" max="20" width="12" bestFit="1" customWidth="1"/>
  </cols>
  <sheetData>
    <row r="1" spans="2:16" ht="18.75">
      <c r="B1" s="138" t="s">
        <v>613</v>
      </c>
      <c r="G1" s="1"/>
      <c r="H1" s="1"/>
      <c r="I1" s="1"/>
      <c r="J1" s="1"/>
      <c r="K1" s="1"/>
      <c r="L1" s="1"/>
      <c r="M1" s="1"/>
      <c r="N1" s="1"/>
      <c r="O1" s="1"/>
    </row>
    <row r="2" spans="2:16">
      <c r="B2" s="287" t="s">
        <v>604</v>
      </c>
      <c r="E2" s="1"/>
      <c r="G2" s="1"/>
      <c r="H2" s="1"/>
      <c r="I2" s="1"/>
      <c r="J2" s="1"/>
      <c r="K2" s="1"/>
      <c r="L2" s="1"/>
      <c r="M2" s="1"/>
      <c r="N2" s="1"/>
      <c r="O2" s="1"/>
      <c r="P2" s="1"/>
    </row>
    <row r="3" spans="2:16">
      <c r="B3" s="287"/>
      <c r="E3" s="327" t="s">
        <v>614</v>
      </c>
      <c r="G3" s="1"/>
      <c r="H3" s="1"/>
      <c r="I3" s="1"/>
      <c r="J3" s="1"/>
      <c r="K3" s="1"/>
      <c r="L3" s="1"/>
      <c r="M3" s="1"/>
      <c r="N3" s="1"/>
      <c r="O3" s="1"/>
      <c r="P3" s="1"/>
    </row>
    <row r="4" spans="2:16">
      <c r="B4" s="287"/>
      <c r="E4" s="330" t="s">
        <v>615</v>
      </c>
      <c r="G4" s="1"/>
      <c r="H4" s="1"/>
      <c r="I4" s="1"/>
      <c r="J4" s="1"/>
      <c r="K4" s="1"/>
      <c r="L4" s="1"/>
      <c r="M4" s="1"/>
      <c r="N4" s="1"/>
      <c r="O4" s="1"/>
      <c r="P4" s="1"/>
    </row>
    <row r="5" spans="2:16">
      <c r="E5" s="1"/>
      <c r="G5" s="1"/>
      <c r="H5" s="1"/>
      <c r="I5" s="1"/>
      <c r="J5" s="1"/>
      <c r="K5" s="1"/>
      <c r="L5" s="1"/>
      <c r="M5" s="1"/>
      <c r="N5" s="1"/>
      <c r="O5" s="1"/>
      <c r="P5" s="1"/>
    </row>
    <row r="6" spans="2:16">
      <c r="B6" s="1" t="s">
        <v>616</v>
      </c>
      <c r="E6" s="327">
        <f>Drawing!B34</f>
        <v>10</v>
      </c>
      <c r="F6" s="121" t="s">
        <v>699</v>
      </c>
      <c r="G6" s="1"/>
      <c r="H6" s="1"/>
      <c r="I6" s="1"/>
      <c r="J6" s="1"/>
      <c r="K6" s="1"/>
      <c r="L6" s="1"/>
      <c r="M6" s="1"/>
      <c r="N6" s="1"/>
      <c r="O6" s="1"/>
      <c r="P6" s="1"/>
    </row>
    <row r="7" spans="2:16" hidden="1">
      <c r="B7" s="1" t="s">
        <v>617</v>
      </c>
      <c r="E7" s="328">
        <f>E6*14.7/E9*(460+E8)/(460+60)*1000</f>
        <v>1598.5072115384614</v>
      </c>
      <c r="F7" s="121" t="s">
        <v>699</v>
      </c>
      <c r="G7" s="1" t="s">
        <v>618</v>
      </c>
      <c r="H7" s="1"/>
      <c r="I7" s="1"/>
      <c r="J7" s="1"/>
      <c r="K7" s="1"/>
      <c r="L7" s="1"/>
      <c r="M7" s="1"/>
      <c r="N7" s="1"/>
      <c r="O7" s="1"/>
      <c r="P7" s="1"/>
    </row>
    <row r="8" spans="2:16">
      <c r="B8" s="1" t="s">
        <v>619</v>
      </c>
      <c r="E8" s="327">
        <f>Drawing!B37</f>
        <v>105.45833333333333</v>
      </c>
      <c r="F8" s="121" t="s">
        <v>699</v>
      </c>
      <c r="G8" s="1"/>
      <c r="H8" s="1"/>
      <c r="I8" s="1"/>
      <c r="J8" s="1"/>
      <c r="K8" s="1"/>
      <c r="L8" s="1"/>
      <c r="M8" s="1"/>
      <c r="N8" s="1"/>
      <c r="O8" s="1"/>
      <c r="P8" s="1"/>
    </row>
    <row r="9" spans="2:16">
      <c r="B9" s="1" t="s">
        <v>620</v>
      </c>
      <c r="E9" s="328">
        <f>Drawing!B36</f>
        <v>100</v>
      </c>
      <c r="F9" s="121" t="s">
        <v>699</v>
      </c>
      <c r="G9" s="1"/>
      <c r="H9" s="1"/>
      <c r="I9" s="1"/>
      <c r="J9" s="1"/>
      <c r="K9" s="1"/>
      <c r="L9" s="1"/>
      <c r="M9" s="1"/>
      <c r="N9" s="1"/>
      <c r="O9" s="1"/>
      <c r="P9" s="1"/>
    </row>
    <row r="10" spans="2:16">
      <c r="B10" s="1" t="s">
        <v>621</v>
      </c>
      <c r="E10" s="327">
        <f>Drawing!G10*5280</f>
        <v>31680</v>
      </c>
      <c r="F10" s="121" t="s">
        <v>699</v>
      </c>
      <c r="G10" s="1"/>
      <c r="H10" s="1"/>
      <c r="I10" s="1"/>
      <c r="J10" s="1"/>
      <c r="K10" s="1"/>
      <c r="L10" s="1"/>
      <c r="M10" s="1"/>
      <c r="N10" s="1"/>
      <c r="O10" s="1"/>
      <c r="P10" s="1" t="s">
        <v>12</v>
      </c>
    </row>
    <row r="11" spans="2:16">
      <c r="B11" s="1" t="s">
        <v>622</v>
      </c>
      <c r="E11" s="327">
        <f>Drawing!G11</f>
        <v>10</v>
      </c>
      <c r="F11" s="121" t="s">
        <v>699</v>
      </c>
      <c r="G11" s="1"/>
      <c r="H11" s="1"/>
      <c r="I11" s="1"/>
      <c r="J11" s="1"/>
      <c r="K11" s="1"/>
      <c r="L11" s="1"/>
      <c r="M11" s="1"/>
      <c r="N11" s="1"/>
      <c r="O11" s="1"/>
      <c r="P11" s="1"/>
    </row>
    <row r="12" spans="2:16" hidden="1">
      <c r="B12" s="1" t="s">
        <v>623</v>
      </c>
      <c r="E12" s="329">
        <f>E11/12</f>
        <v>0.83333333333333337</v>
      </c>
      <c r="G12" s="1"/>
      <c r="H12" s="1"/>
      <c r="I12" s="1"/>
      <c r="J12" s="1"/>
      <c r="K12" s="1"/>
      <c r="L12" s="1"/>
      <c r="M12" s="1"/>
      <c r="N12" s="1"/>
      <c r="O12" s="1"/>
      <c r="P12" s="1"/>
    </row>
    <row r="13" spans="2:16">
      <c r="B13" s="1" t="s">
        <v>624</v>
      </c>
      <c r="E13" s="329">
        <v>0.92</v>
      </c>
      <c r="F13" s="121" t="s">
        <v>700</v>
      </c>
      <c r="G13" s="1"/>
      <c r="H13" s="1" t="s">
        <v>12</v>
      </c>
      <c r="I13" s="1"/>
      <c r="J13" s="1"/>
      <c r="K13" s="1"/>
      <c r="L13" s="1"/>
      <c r="M13" s="1"/>
      <c r="N13" s="1"/>
      <c r="O13" s="1"/>
      <c r="P13" s="1"/>
    </row>
    <row r="14" spans="2:16">
      <c r="B14" s="1" t="s">
        <v>625</v>
      </c>
      <c r="E14" s="288">
        <f>1/'Prop Est Flash 1'!P25</f>
        <v>5.8385313802528066E-2</v>
      </c>
      <c r="F14" s="289" t="s">
        <v>626</v>
      </c>
      <c r="G14" s="1"/>
      <c r="H14" s="1"/>
      <c r="I14" s="1"/>
      <c r="J14" s="1"/>
      <c r="K14" s="1"/>
      <c r="L14" s="1"/>
      <c r="M14" s="1"/>
      <c r="N14" s="1"/>
      <c r="O14" s="1"/>
      <c r="P14" s="1"/>
    </row>
    <row r="15" spans="2:16">
      <c r="B15" s="1" t="s">
        <v>627</v>
      </c>
      <c r="E15" s="290">
        <f>[1]Properties!E34</f>
        <v>1.0618279569892475E-5</v>
      </c>
      <c r="F15" s="289" t="s">
        <v>628</v>
      </c>
      <c r="G15" s="1"/>
      <c r="H15" s="1"/>
      <c r="I15" s="1"/>
      <c r="J15" s="1"/>
      <c r="K15" s="1"/>
      <c r="L15" s="1"/>
      <c r="M15" s="1"/>
      <c r="N15" s="1"/>
      <c r="O15" s="1"/>
      <c r="P15" s="1"/>
    </row>
    <row r="16" spans="2:16" ht="15.75">
      <c r="B16" s="1" t="s">
        <v>629</v>
      </c>
      <c r="E16" s="288">
        <f>I89</f>
        <v>1.3428678126014962E-2</v>
      </c>
      <c r="F16" s="289" t="s">
        <v>630</v>
      </c>
      <c r="G16" s="1"/>
      <c r="H16" s="1"/>
      <c r="I16" s="1"/>
      <c r="J16" s="1"/>
      <c r="K16" s="1"/>
      <c r="L16" s="1"/>
      <c r="M16" s="1"/>
      <c r="N16" s="1"/>
      <c r="O16" s="1"/>
      <c r="P16" s="1"/>
    </row>
    <row r="17" spans="2:16">
      <c r="B17" s="1" t="s">
        <v>478</v>
      </c>
      <c r="E17" s="291">
        <f>E7*1000/(60*60*24*3.14*(E12/2)^2)</f>
        <v>33.938581985954592</v>
      </c>
      <c r="G17" s="1"/>
      <c r="H17" s="1"/>
      <c r="I17" s="1"/>
      <c r="J17" s="1"/>
      <c r="K17" s="1"/>
      <c r="L17" s="1"/>
      <c r="M17" s="1"/>
      <c r="N17" s="1"/>
      <c r="O17" s="1"/>
      <c r="P17" s="1"/>
    </row>
    <row r="18" spans="2:16">
      <c r="B18" s="1" t="s">
        <v>631</v>
      </c>
      <c r="E18" s="292">
        <f>E17*E10*E14/E15</f>
        <v>5911917006.9168482</v>
      </c>
      <c r="G18" s="1"/>
      <c r="H18" s="1"/>
      <c r="I18" s="1"/>
      <c r="J18" s="1"/>
      <c r="K18" s="1"/>
      <c r="L18" s="1"/>
      <c r="M18" s="1"/>
      <c r="N18" s="1"/>
      <c r="O18" s="1"/>
      <c r="P18" s="1"/>
    </row>
    <row r="19" spans="2:16">
      <c r="B19" s="1" t="s">
        <v>632</v>
      </c>
      <c r="E19" s="291">
        <f>E16*(E10/E12)*(E14*E17^2)/9265*E9/14.7</f>
        <v>25.207392811272769</v>
      </c>
      <c r="G19" s="1"/>
      <c r="H19" s="1"/>
      <c r="I19" s="1"/>
      <c r="J19" s="1"/>
      <c r="K19" s="1"/>
      <c r="L19" s="1"/>
      <c r="M19" s="1"/>
      <c r="N19" s="1"/>
      <c r="O19" s="1"/>
      <c r="P19" s="1"/>
    </row>
    <row r="20" spans="2:16" ht="17.25">
      <c r="B20" s="1" t="s">
        <v>633</v>
      </c>
      <c r="E20" s="333">
        <f>E19/E9</f>
        <v>0.25207392811272766</v>
      </c>
      <c r="G20" s="1"/>
      <c r="H20" s="1"/>
      <c r="I20" s="1"/>
      <c r="J20" s="1"/>
      <c r="K20" s="1"/>
      <c r="L20" s="1"/>
      <c r="M20" s="1"/>
      <c r="N20" s="1"/>
      <c r="O20" s="1"/>
      <c r="P20" s="1"/>
    </row>
    <row r="21" spans="2:16">
      <c r="B21" s="1" t="s">
        <v>634</v>
      </c>
      <c r="E21" s="291">
        <f>E9-C106</f>
        <v>29.587933266640022</v>
      </c>
      <c r="G21" s="1"/>
      <c r="H21" s="1"/>
      <c r="I21" s="1"/>
      <c r="J21" s="1"/>
      <c r="K21" s="1"/>
      <c r="L21" s="1"/>
      <c r="M21" s="1"/>
      <c r="N21" s="1"/>
      <c r="O21" s="1"/>
      <c r="P21" s="1"/>
    </row>
    <row r="22" spans="2:16">
      <c r="B22" s="1" t="s">
        <v>635</v>
      </c>
      <c r="E22" s="291">
        <f>E9-C111</f>
        <v>24.224475220710801</v>
      </c>
      <c r="G22" s="1" t="s">
        <v>12</v>
      </c>
      <c r="H22" s="14"/>
      <c r="I22" s="1"/>
      <c r="J22" s="1"/>
      <c r="K22" s="1"/>
      <c r="L22" s="1"/>
      <c r="M22" s="1"/>
      <c r="N22" s="1"/>
      <c r="O22" s="1"/>
      <c r="P22" s="1"/>
    </row>
    <row r="23" spans="2:16">
      <c r="B23" s="1" t="s">
        <v>636</v>
      </c>
      <c r="E23" s="291">
        <f>E9-C116</f>
        <v>19.422455714732493</v>
      </c>
      <c r="G23" s="1"/>
      <c r="H23" s="14"/>
      <c r="I23" s="1"/>
      <c r="J23" s="1"/>
      <c r="K23" s="1"/>
      <c r="L23" s="1"/>
      <c r="M23" s="1"/>
      <c r="N23" s="1"/>
      <c r="O23" s="1"/>
      <c r="P23" s="1"/>
    </row>
    <row r="24" spans="2:16" s="1" customFormat="1" ht="14.25" customHeight="1">
      <c r="B24" s="1" t="s">
        <v>718</v>
      </c>
      <c r="E24" s="327">
        <v>1</v>
      </c>
      <c r="F24" s="291" t="s">
        <v>719</v>
      </c>
      <c r="H24" s="14"/>
    </row>
    <row r="25" spans="2:16" s="1" customFormat="1" ht="14.25" customHeight="1">
      <c r="B25" s="1" t="s">
        <v>717</v>
      </c>
      <c r="E25" s="331">
        <f>IF(1,E19,E23)</f>
        <v>25.207392811272769</v>
      </c>
      <c r="F25" s="291"/>
      <c r="H25" s="14"/>
    </row>
    <row r="26" spans="2:16" s="1" customFormat="1" ht="7.5" customHeight="1">
      <c r="F26" s="291"/>
      <c r="H26" s="14"/>
    </row>
    <row r="27" spans="2:16" s="1" customFormat="1" ht="18.75" customHeight="1">
      <c r="B27" s="294" t="s">
        <v>637</v>
      </c>
      <c r="E27" s="295"/>
      <c r="H27" s="14"/>
    </row>
    <row r="28" spans="2:16" s="1" customFormat="1" ht="18" customHeight="1">
      <c r="B28" s="294" t="s">
        <v>638</v>
      </c>
      <c r="F28" s="291"/>
    </row>
    <row r="29" spans="2:16" s="1" customFormat="1">
      <c r="F29" s="291"/>
    </row>
    <row r="30" spans="2:16" s="1" customFormat="1" ht="15.75">
      <c r="B30" s="296" t="s">
        <v>477</v>
      </c>
    </row>
    <row r="31" spans="2:16" s="1" customFormat="1" ht="9.75" customHeight="1"/>
    <row r="32" spans="2:16" s="1" customFormat="1">
      <c r="B32" s="297" t="s">
        <v>479</v>
      </c>
    </row>
    <row r="33" spans="2:2" s="1" customFormat="1" ht="17.25">
      <c r="B33" s="297" t="s">
        <v>639</v>
      </c>
    </row>
    <row r="34" spans="2:2" s="1" customFormat="1" ht="9" customHeight="1"/>
    <row r="35" spans="2:2" s="1" customFormat="1">
      <c r="B35" s="297" t="s">
        <v>371</v>
      </c>
    </row>
    <row r="36" spans="2:2" s="1" customFormat="1">
      <c r="B36" s="298" t="s">
        <v>640</v>
      </c>
    </row>
    <row r="37" spans="2:2" s="1" customFormat="1">
      <c r="B37" s="299" t="s">
        <v>641</v>
      </c>
    </row>
    <row r="38" spans="2:2" s="1" customFormat="1">
      <c r="B38" s="299" t="s">
        <v>642</v>
      </c>
    </row>
    <row r="39" spans="2:2" s="1" customFormat="1">
      <c r="B39" s="299" t="s">
        <v>643</v>
      </c>
    </row>
    <row r="40" spans="2:2" s="1" customFormat="1">
      <c r="B40" s="300" t="s">
        <v>644</v>
      </c>
    </row>
    <row r="41" spans="2:2" s="1" customFormat="1">
      <c r="B41" s="298" t="s">
        <v>645</v>
      </c>
    </row>
    <row r="42" spans="2:2" s="1" customFormat="1"/>
    <row r="43" spans="2:2" s="1" customFormat="1" ht="15.75">
      <c r="B43" s="301" t="s">
        <v>646</v>
      </c>
    </row>
    <row r="44" spans="2:2" s="1" customFormat="1" ht="9" customHeight="1">
      <c r="B44" s="302"/>
    </row>
    <row r="45" spans="2:2" s="1" customFormat="1">
      <c r="B45" s="1" t="s">
        <v>647</v>
      </c>
    </row>
    <row r="46" spans="2:2" s="1" customFormat="1">
      <c r="B46" s="121" t="s">
        <v>648</v>
      </c>
    </row>
    <row r="47" spans="2:2" s="1" customFormat="1">
      <c r="B47" s="121" t="s">
        <v>649</v>
      </c>
    </row>
    <row r="48" spans="2:2" s="1" customFormat="1" ht="8.25" customHeight="1"/>
    <row r="49" spans="2:2" s="1" customFormat="1">
      <c r="B49" s="297" t="s">
        <v>371</v>
      </c>
    </row>
    <row r="50" spans="2:2" s="1" customFormat="1">
      <c r="B50" s="1" t="s">
        <v>480</v>
      </c>
    </row>
    <row r="51" spans="2:2" s="1" customFormat="1" ht="15.75">
      <c r="B51" s="1" t="s">
        <v>650</v>
      </c>
    </row>
    <row r="52" spans="2:2" s="1" customFormat="1">
      <c r="B52" s="1" t="s">
        <v>651</v>
      </c>
    </row>
    <row r="53" spans="2:2" s="1" customFormat="1">
      <c r="B53" s="1" t="s">
        <v>652</v>
      </c>
    </row>
    <row r="54" spans="2:2" s="1" customFormat="1">
      <c r="B54" s="1" t="s">
        <v>653</v>
      </c>
    </row>
    <row r="55" spans="2:2" s="1" customFormat="1">
      <c r="B55" s="1" t="s">
        <v>654</v>
      </c>
    </row>
    <row r="56" spans="2:2" s="1" customFormat="1"/>
    <row r="57" spans="2:2" s="1" customFormat="1" ht="15.75">
      <c r="B57" s="301" t="s">
        <v>655</v>
      </c>
    </row>
    <row r="58" spans="2:2" s="1" customFormat="1"/>
    <row r="59" spans="2:2" s="1" customFormat="1"/>
    <row r="60" spans="2:2" s="1" customFormat="1"/>
    <row r="61" spans="2:2" s="1" customFormat="1"/>
    <row r="62" spans="2:2" s="1" customFormat="1"/>
    <row r="63" spans="2:2" s="1" customFormat="1"/>
    <row r="64" spans="2:2"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3:10" s="1" customFormat="1"/>
    <row r="82" spans="3:10" s="1" customFormat="1"/>
    <row r="83" spans="3:10" s="1" customFormat="1"/>
    <row r="84" spans="3:10" s="1" customFormat="1"/>
    <row r="85" spans="3:10" s="1" customFormat="1">
      <c r="C85" s="302" t="s">
        <v>656</v>
      </c>
    </row>
    <row r="86" spans="3:10" s="1" customFormat="1">
      <c r="H86" s="6" t="s">
        <v>657</v>
      </c>
      <c r="I86" s="303" t="s">
        <v>658</v>
      </c>
      <c r="J86" s="226" t="s">
        <v>659</v>
      </c>
    </row>
    <row r="87" spans="3:10" s="1" customFormat="1">
      <c r="C87" s="304" t="s">
        <v>660</v>
      </c>
      <c r="D87" s="305"/>
      <c r="E87" s="305"/>
      <c r="F87" s="306" t="s">
        <v>661</v>
      </c>
      <c r="G87" s="305"/>
      <c r="H87" s="307">
        <f>E18</f>
        <v>5911917006.9168482</v>
      </c>
      <c r="I87" s="308">
        <f>64/H87</f>
        <v>1.0825591753930413E-8</v>
      </c>
      <c r="J87" s="50"/>
    </row>
    <row r="88" spans="3:10" s="1" customFormat="1" ht="15.75">
      <c r="C88" s="309" t="s">
        <v>662</v>
      </c>
      <c r="F88" s="1" t="s">
        <v>663</v>
      </c>
      <c r="H88" s="310">
        <f>H87</f>
        <v>5911917006.9168482</v>
      </c>
      <c r="I88" s="311">
        <f>0.316/H88^0.25</f>
        <v>1.1396067172095633E-3</v>
      </c>
      <c r="J88" s="312"/>
    </row>
    <row r="89" spans="3:10" s="1" customFormat="1" ht="15.75">
      <c r="C89" s="309" t="s">
        <v>664</v>
      </c>
      <c r="F89" s="1" t="s">
        <v>665</v>
      </c>
      <c r="H89" s="310">
        <f>H88</f>
        <v>5911917006.9168482</v>
      </c>
      <c r="I89" s="311">
        <f>(1.14+2*LOG(E12/F94))^-2</f>
        <v>1.3428678126014962E-2</v>
      </c>
      <c r="J89" s="313">
        <f>H94</f>
        <v>1.7999999999999998E-4</v>
      </c>
    </row>
    <row r="90" spans="3:10" s="1" customFormat="1" ht="15.75">
      <c r="C90" s="314" t="s">
        <v>666</v>
      </c>
      <c r="D90" s="9"/>
      <c r="E90" s="9"/>
      <c r="F90" s="9" t="s">
        <v>667</v>
      </c>
      <c r="G90" s="9"/>
      <c r="H90" s="315">
        <f>H89</f>
        <v>5911917006.9168482</v>
      </c>
      <c r="I90" s="316">
        <f>(-2*LOG((J90)/3.7+2.51/(H90*0.012^0.5)))^-2</f>
        <v>1.3440094265864172E-2</v>
      </c>
      <c r="J90" s="317">
        <f>H94</f>
        <v>1.7999999999999998E-4</v>
      </c>
    </row>
    <row r="91" spans="3:10" s="1" customFormat="1">
      <c r="D91" s="289"/>
      <c r="H91" s="59"/>
      <c r="I91" s="288"/>
    </row>
    <row r="92" spans="3:10" s="1" customFormat="1">
      <c r="D92" s="318" t="s">
        <v>668</v>
      </c>
      <c r="E92" s="56"/>
      <c r="F92" s="319" t="s">
        <v>669</v>
      </c>
      <c r="G92" s="226" t="s">
        <v>670</v>
      </c>
      <c r="H92" s="6" t="s">
        <v>671</v>
      </c>
      <c r="I92" s="288"/>
    </row>
    <row r="93" spans="3:10" s="1" customFormat="1">
      <c r="D93" s="309" t="s">
        <v>672</v>
      </c>
      <c r="F93" s="312">
        <v>5.0000000000000004E-6</v>
      </c>
      <c r="G93" s="312">
        <f>F93*12*25.4</f>
        <v>1.5240000000000002E-3</v>
      </c>
      <c r="H93" s="320">
        <f>F93/$E$12</f>
        <v>6.0000000000000002E-6</v>
      </c>
      <c r="I93" s="288"/>
    </row>
    <row r="94" spans="3:10" s="1" customFormat="1">
      <c r="D94" s="309" t="s">
        <v>673</v>
      </c>
      <c r="F94" s="312">
        <v>1.4999999999999999E-4</v>
      </c>
      <c r="G94" s="312">
        <f>F94*12*25.4</f>
        <v>4.5719999999999997E-2</v>
      </c>
      <c r="H94" s="313">
        <f t="shared" ref="H94:H97" si="0">F94/$E$12</f>
        <v>1.7999999999999998E-4</v>
      </c>
      <c r="I94" s="288"/>
    </row>
    <row r="95" spans="3:10" s="1" customFormat="1">
      <c r="D95" s="309" t="s">
        <v>674</v>
      </c>
      <c r="F95" s="312">
        <v>5.0000000000000001E-4</v>
      </c>
      <c r="G95" s="312">
        <f t="shared" ref="G95:G97" si="1">F95*12*25.4</f>
        <v>0.15240000000000001</v>
      </c>
      <c r="H95" s="313">
        <f t="shared" si="0"/>
        <v>5.9999999999999995E-4</v>
      </c>
      <c r="I95" s="288"/>
    </row>
    <row r="96" spans="3:10" s="1" customFormat="1">
      <c r="D96" s="309" t="s">
        <v>675</v>
      </c>
      <c r="F96" s="312">
        <v>8.4999999999999995E-4</v>
      </c>
      <c r="G96" s="312">
        <f t="shared" si="1"/>
        <v>0.25907999999999998</v>
      </c>
      <c r="H96" s="313">
        <f t="shared" si="0"/>
        <v>1.0199999999999999E-3</v>
      </c>
      <c r="I96" s="288"/>
    </row>
    <row r="97" spans="2:9" s="1" customFormat="1">
      <c r="D97" s="314" t="s">
        <v>676</v>
      </c>
      <c r="E97" s="9"/>
      <c r="F97" s="53">
        <v>5.0000000000000001E-4</v>
      </c>
      <c r="G97" s="53">
        <f t="shared" si="1"/>
        <v>0.15240000000000001</v>
      </c>
      <c r="H97" s="317">
        <f t="shared" si="0"/>
        <v>5.9999999999999995E-4</v>
      </c>
      <c r="I97" s="288"/>
    </row>
    <row r="98" spans="2:9" s="1" customFormat="1">
      <c r="F98" s="52"/>
      <c r="G98" s="225"/>
      <c r="H98" s="292"/>
      <c r="I98" s="288"/>
    </row>
    <row r="99" spans="2:9" s="1" customFormat="1">
      <c r="G99" s="4"/>
      <c r="H99" s="61" t="s">
        <v>657</v>
      </c>
      <c r="I99" s="226" t="s">
        <v>658</v>
      </c>
    </row>
    <row r="100" spans="2:9" s="1" customFormat="1">
      <c r="C100" s="302" t="s">
        <v>677</v>
      </c>
      <c r="D100" s="302"/>
      <c r="E100" s="302"/>
      <c r="G100" s="321" t="s">
        <v>678</v>
      </c>
      <c r="H100" s="322">
        <f>H90</f>
        <v>5911917006.9168482</v>
      </c>
      <c r="I100" s="312">
        <v>8.0000000000000002E-3</v>
      </c>
    </row>
    <row r="101" spans="2:9" s="1" customFormat="1">
      <c r="G101" s="323" t="s">
        <v>679</v>
      </c>
      <c r="H101" s="324">
        <f>H100</f>
        <v>5911917006.9168482</v>
      </c>
      <c r="I101" s="53">
        <v>1.2999999999999999E-2</v>
      </c>
    </row>
    <row r="102" spans="2:9" s="1" customFormat="1"/>
    <row r="103" spans="2:9" s="1" customFormat="1" ht="15.75">
      <c r="B103" s="301" t="s">
        <v>680</v>
      </c>
    </row>
    <row r="104" spans="2:9" s="1" customFormat="1"/>
    <row r="105" spans="2:9" s="1" customFormat="1" ht="15.75">
      <c r="B105" s="1" t="s">
        <v>681</v>
      </c>
    </row>
    <row r="106" spans="2:9" s="1" customFormat="1">
      <c r="B106" s="1" t="s">
        <v>682</v>
      </c>
      <c r="C106" s="325">
        <f>(E9^2-(E10/5280*[1]Properties!O24*(460+E8))*(E6*1000000/(433.65*(520/14.7)*(E12*12)^2.67))^2)^0.5</f>
        <v>70.412066733359978</v>
      </c>
      <c r="D106" s="1" t="s">
        <v>57</v>
      </c>
    </row>
    <row r="107" spans="2:9" s="1" customFormat="1">
      <c r="C107" s="325"/>
    </row>
    <row r="108" spans="2:9" s="1" customFormat="1" ht="15.75">
      <c r="B108" s="301" t="s">
        <v>683</v>
      </c>
      <c r="C108" s="225"/>
    </row>
    <row r="109" spans="2:9" s="1" customFormat="1">
      <c r="C109" s="225"/>
    </row>
    <row r="110" spans="2:9" s="1" customFormat="1" ht="15.75">
      <c r="B110" s="1" t="s">
        <v>684</v>
      </c>
      <c r="C110" s="225"/>
    </row>
    <row r="111" spans="2:9" s="1" customFormat="1">
      <c r="B111" s="1" t="s">
        <v>682</v>
      </c>
      <c r="C111" s="325">
        <f>((E9^2)-((E6*1000000)/(435.87*E13*(520/14.7)^1.0788*(E12*12)^2.6182))^(1/0.5394)*([1]Properties!O24^0.8539*[1]Properties!K24*(460+E8)*E10/5280))^0.5</f>
        <v>75.775524779289199</v>
      </c>
      <c r="D111" s="1" t="s">
        <v>57</v>
      </c>
    </row>
    <row r="112" spans="2:9" s="1" customFormat="1">
      <c r="C112" s="225"/>
    </row>
    <row r="113" spans="2:4" s="1" customFormat="1" ht="15.75">
      <c r="B113" s="301" t="s">
        <v>685</v>
      </c>
      <c r="C113" s="225"/>
    </row>
    <row r="114" spans="2:4" s="1" customFormat="1">
      <c r="C114" s="225"/>
    </row>
    <row r="115" spans="2:4" s="1" customFormat="1" ht="15.75">
      <c r="B115" s="1" t="s">
        <v>686</v>
      </c>
      <c r="C115" s="225"/>
    </row>
    <row r="116" spans="2:4" s="1" customFormat="1">
      <c r="B116" s="1" t="s">
        <v>682</v>
      </c>
      <c r="C116" s="325">
        <f>((E9^2)-((E6*1000000)/((737*E13*(520/14.7)^1.02)*(E12*12)^2.53))^(1/0.51)*([1]Properties!O24^0.8539*(460+E8)*[1]Properties!K24*E10/5280))^0.5</f>
        <v>80.577544285267507</v>
      </c>
      <c r="D116" s="1" t="s">
        <v>57</v>
      </c>
    </row>
    <row r="117" spans="2:4" s="1" customFormat="1"/>
    <row r="118" spans="2:4" s="1" customFormat="1">
      <c r="B118" s="326" t="s">
        <v>687</v>
      </c>
    </row>
    <row r="119" spans="2:4" s="1" customFormat="1">
      <c r="B119" s="1" t="s">
        <v>688</v>
      </c>
    </row>
    <row r="120" spans="2:4" s="1" customFormat="1">
      <c r="B120" s="300" t="s">
        <v>689</v>
      </c>
    </row>
    <row r="121" spans="2:4" s="1" customFormat="1">
      <c r="B121" s="1" t="s">
        <v>690</v>
      </c>
    </row>
    <row r="122" spans="2:4" s="1" customFormat="1">
      <c r="B122" s="1" t="s">
        <v>691</v>
      </c>
    </row>
    <row r="123" spans="2:4" s="1" customFormat="1">
      <c r="B123" s="1" t="s">
        <v>692</v>
      </c>
    </row>
    <row r="124" spans="2:4" s="1" customFormat="1">
      <c r="B124" s="1" t="s">
        <v>693</v>
      </c>
    </row>
    <row r="125" spans="2:4" s="1" customFormat="1">
      <c r="B125" s="1" t="s">
        <v>694</v>
      </c>
    </row>
    <row r="126" spans="2:4" s="1" customFormat="1">
      <c r="B126" s="1" t="s">
        <v>695</v>
      </c>
    </row>
    <row r="127" spans="2:4" s="1" customFormat="1">
      <c r="B127" s="1" t="s">
        <v>696</v>
      </c>
    </row>
    <row r="128" spans="2:4" s="1" customFormat="1">
      <c r="B128" s="1" t="s">
        <v>697</v>
      </c>
    </row>
    <row r="129" spans="2:2" s="1" customFormat="1">
      <c r="B129" s="1" t="s">
        <v>698</v>
      </c>
    </row>
    <row r="130" spans="2:2" s="1" customFormat="1"/>
    <row r="131" spans="2:2" s="1" customFormat="1"/>
    <row r="132" spans="2:2" s="1" customFormat="1"/>
    <row r="133" spans="2:2" s="1" customFormat="1"/>
    <row r="134" spans="2:2" s="1" customFormat="1"/>
    <row r="135" spans="2:2" s="1" customFormat="1"/>
    <row r="136" spans="2:2" s="1" customFormat="1"/>
    <row r="137" spans="2:2" s="1" customFormat="1"/>
    <row r="138" spans="2:2" s="1" customFormat="1"/>
    <row r="139" spans="2:2" s="1" customFormat="1"/>
    <row r="140" spans="2:2" s="1" customFormat="1"/>
    <row r="141" spans="2:2" s="1" customFormat="1"/>
    <row r="142" spans="2:2" s="1" customFormat="1"/>
    <row r="143" spans="2:2" s="1" customFormat="1"/>
    <row r="144" spans="2:2"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pans="7:16" s="1" customFormat="1"/>
    <row r="210" spans="7:16" s="1" customFormat="1"/>
    <row r="211" spans="7:16" s="1" customFormat="1"/>
    <row r="212" spans="7:16" s="1" customFormat="1"/>
    <row r="213" spans="7:16" s="1" customFormat="1"/>
    <row r="214" spans="7:16" s="1" customFormat="1"/>
    <row r="215" spans="7:16" s="1" customFormat="1"/>
    <row r="216" spans="7:16">
      <c r="G216" s="1"/>
      <c r="H216" s="1"/>
      <c r="I216" s="1"/>
      <c r="J216" s="1"/>
      <c r="K216" s="1"/>
      <c r="L216" s="1"/>
      <c r="M216" s="1"/>
      <c r="N216" s="1"/>
      <c r="O216" s="1"/>
      <c r="P216" s="1"/>
    </row>
    <row r="217" spans="7:16">
      <c r="G217" s="1"/>
      <c r="H217" s="1"/>
      <c r="I217" s="1"/>
      <c r="J217" s="1"/>
      <c r="K217" s="1"/>
      <c r="L217" s="1"/>
      <c r="M217" s="1"/>
      <c r="N217" s="1"/>
      <c r="O217" s="1"/>
      <c r="P217" s="1"/>
    </row>
    <row r="218" spans="7:16">
      <c r="G218" s="1"/>
      <c r="H218" s="1"/>
      <c r="I218" s="1"/>
      <c r="J218" s="1"/>
      <c r="K218" s="1"/>
    </row>
    <row r="219" spans="7:16">
      <c r="G219" s="1"/>
      <c r="H219" s="1"/>
      <c r="I219" s="1"/>
      <c r="J219" s="1"/>
      <c r="K219" s="1"/>
    </row>
    <row r="220" spans="7:16">
      <c r="G220" s="1"/>
      <c r="H220" s="1"/>
      <c r="I220" s="1"/>
      <c r="J220" s="1"/>
      <c r="K220" s="1"/>
    </row>
    <row r="221" spans="7:16">
      <c r="G221" s="1"/>
      <c r="H221" s="1"/>
      <c r="I221" s="1"/>
      <c r="J221" s="1"/>
      <c r="K221" s="1"/>
    </row>
    <row r="222" spans="7:16">
      <c r="G222" s="1"/>
      <c r="H222" s="1"/>
      <c r="I222" s="1"/>
      <c r="J222" s="1"/>
      <c r="K222" s="1"/>
    </row>
    <row r="223" spans="7:16">
      <c r="G223" s="1"/>
      <c r="H223" s="1"/>
      <c r="I223" s="1"/>
      <c r="J223" s="1"/>
      <c r="K223" s="1"/>
    </row>
    <row r="224" spans="7:16">
      <c r="G224" s="1"/>
      <c r="H224" s="1"/>
      <c r="I224" s="1"/>
      <c r="J224" s="1"/>
      <c r="K224" s="1"/>
    </row>
    <row r="225" spans="7:11">
      <c r="G225" s="1"/>
      <c r="H225" s="1"/>
      <c r="I225" s="1"/>
      <c r="J225" s="1"/>
      <c r="K225" s="1"/>
    </row>
    <row r="226" spans="7:11">
      <c r="G226" s="1"/>
      <c r="H226" s="1"/>
      <c r="I226" s="1"/>
      <c r="J226" s="1"/>
      <c r="K226" s="1"/>
    </row>
    <row r="227" spans="7:11">
      <c r="G227" s="1"/>
      <c r="H227" s="1"/>
      <c r="I227" s="1"/>
      <c r="J227" s="1"/>
      <c r="K227" s="1"/>
    </row>
    <row r="228" spans="7:11">
      <c r="G228" s="1"/>
      <c r="H228" s="1"/>
      <c r="I228" s="1"/>
      <c r="J228" s="1"/>
      <c r="K228" s="1"/>
    </row>
    <row r="229" spans="7:11">
      <c r="G229" s="1"/>
      <c r="H229" s="1"/>
      <c r="I229" s="1"/>
      <c r="J229" s="1"/>
      <c r="K229" s="1"/>
    </row>
    <row r="230" spans="7:11">
      <c r="G230" s="1"/>
      <c r="H230" s="1"/>
      <c r="I230" s="1"/>
      <c r="J230" s="1"/>
      <c r="K230" s="1"/>
    </row>
    <row r="231" spans="7:11">
      <c r="G231" s="1"/>
      <c r="H231" s="1"/>
      <c r="I231" s="1"/>
      <c r="J231" s="1"/>
      <c r="K231" s="1"/>
    </row>
    <row r="232" spans="7:11">
      <c r="G232" s="1"/>
      <c r="H232" s="1"/>
      <c r="I232" s="1"/>
      <c r="J232" s="1"/>
      <c r="K232" s="1"/>
    </row>
    <row r="233" spans="7:11">
      <c r="G233" s="1"/>
      <c r="H233" s="1"/>
      <c r="I233" s="1"/>
      <c r="J233" s="1"/>
      <c r="K233" s="1"/>
    </row>
    <row r="234" spans="7:11">
      <c r="G234" s="1"/>
      <c r="H234" s="1"/>
      <c r="I234" s="1"/>
      <c r="J234" s="1"/>
      <c r="K234" s="1"/>
    </row>
    <row r="235" spans="7:11">
      <c r="G235" s="1"/>
      <c r="H235" s="1"/>
      <c r="I235" s="1"/>
      <c r="J235" s="1"/>
      <c r="K235" s="1"/>
    </row>
    <row r="236" spans="7:11">
      <c r="G236" s="1"/>
      <c r="H236" s="1"/>
      <c r="I236" s="1"/>
      <c r="J236" s="1"/>
      <c r="K236" s="1"/>
    </row>
    <row r="237" spans="7:11">
      <c r="G237" s="1"/>
      <c r="H237" s="1"/>
      <c r="I237" s="1"/>
      <c r="J237" s="1"/>
      <c r="K237" s="1"/>
    </row>
    <row r="238" spans="7:11">
      <c r="G238" s="1"/>
      <c r="H238" s="1"/>
      <c r="I238" s="1"/>
      <c r="J238" s="1"/>
      <c r="K238" s="1"/>
    </row>
    <row r="239" spans="7:11">
      <c r="G239" s="1"/>
      <c r="H239" s="1"/>
      <c r="I239" s="1"/>
      <c r="J239" s="1"/>
      <c r="K239" s="1"/>
    </row>
    <row r="240" spans="7:11">
      <c r="G240" s="1"/>
      <c r="H240" s="1"/>
      <c r="I240" s="1"/>
      <c r="J240" s="1"/>
      <c r="K240" s="1"/>
    </row>
    <row r="241" spans="7:11">
      <c r="G241" s="1"/>
      <c r="H241" s="1"/>
      <c r="I241" s="1"/>
      <c r="J241" s="1"/>
      <c r="K241" s="1"/>
    </row>
    <row r="242" spans="7:11">
      <c r="G242" s="1"/>
      <c r="H242" s="1"/>
      <c r="I242" s="1"/>
      <c r="J242" s="1"/>
      <c r="K242" s="1"/>
    </row>
    <row r="243" spans="7:11">
      <c r="G243" s="1"/>
      <c r="H243" s="1"/>
      <c r="I243" s="1"/>
      <c r="J243" s="1"/>
      <c r="K243" s="1"/>
    </row>
    <row r="244" spans="7:11">
      <c r="G244" s="1"/>
      <c r="H244" s="1"/>
      <c r="I244" s="1"/>
      <c r="J244" s="1"/>
      <c r="K244" s="1"/>
    </row>
    <row r="245" spans="7:11">
      <c r="G245" s="1"/>
      <c r="H245" s="1"/>
      <c r="I245" s="1"/>
      <c r="J245" s="1"/>
      <c r="K245" s="1"/>
    </row>
    <row r="246" spans="7:11">
      <c r="G246" s="1"/>
      <c r="H246" s="1"/>
      <c r="I246" s="1"/>
      <c r="J246" s="1"/>
      <c r="K246" s="1"/>
    </row>
    <row r="247" spans="7:11">
      <c r="G247" s="1"/>
      <c r="H247" s="1"/>
      <c r="I247" s="1"/>
      <c r="J247" s="1"/>
      <c r="K247" s="1"/>
    </row>
    <row r="248" spans="7:11">
      <c r="G248" s="1"/>
      <c r="H248" s="1"/>
      <c r="I248" s="1"/>
      <c r="J248" s="1"/>
      <c r="K248" s="1"/>
    </row>
    <row r="249" spans="7:11">
      <c r="G249" s="1"/>
      <c r="H249" s="1"/>
      <c r="I249" s="1"/>
      <c r="J249" s="1"/>
      <c r="K249" s="1"/>
    </row>
    <row r="250" spans="7:11">
      <c r="G250" s="1"/>
      <c r="H250" s="1"/>
      <c r="I250" s="1"/>
      <c r="J250" s="1"/>
      <c r="K250" s="1"/>
    </row>
    <row r="251" spans="7:11">
      <c r="G251" s="1"/>
      <c r="H251" s="1"/>
      <c r="I251" s="1"/>
      <c r="J251" s="1"/>
      <c r="K251" s="1"/>
    </row>
    <row r="252" spans="7:11">
      <c r="G252" s="1"/>
      <c r="H252" s="1"/>
      <c r="I252" s="1"/>
      <c r="J252" s="1"/>
      <c r="K252" s="1"/>
    </row>
    <row r="253" spans="7:11">
      <c r="G253" s="1"/>
      <c r="H253" s="1"/>
      <c r="I253" s="1"/>
      <c r="J253" s="1"/>
      <c r="K253" s="1"/>
    </row>
    <row r="254" spans="7:11">
      <c r="G254" s="1"/>
      <c r="H254" s="1"/>
      <c r="I254" s="1"/>
      <c r="J254" s="1"/>
      <c r="K254" s="1"/>
    </row>
    <row r="255" spans="7:11">
      <c r="G255" s="1"/>
      <c r="H255" s="1"/>
      <c r="I255" s="1"/>
      <c r="J255" s="1"/>
      <c r="K255" s="1"/>
    </row>
    <row r="256" spans="7:11">
      <c r="G256" s="1"/>
      <c r="H256" s="1"/>
      <c r="I256" s="1"/>
      <c r="J256" s="1"/>
      <c r="K256" s="1"/>
    </row>
    <row r="257" spans="7:11">
      <c r="G257" s="1"/>
      <c r="H257" s="1"/>
      <c r="I257" s="1"/>
      <c r="J257" s="1"/>
      <c r="K257" s="1"/>
    </row>
    <row r="258" spans="7:11">
      <c r="G258" s="1"/>
      <c r="H258" s="1"/>
      <c r="I258" s="1"/>
      <c r="J258" s="1"/>
      <c r="K258" s="1"/>
    </row>
    <row r="259" spans="7:11">
      <c r="G259" s="1"/>
      <c r="H259" s="1"/>
      <c r="I259" s="1"/>
      <c r="J259" s="1"/>
      <c r="K259" s="1"/>
    </row>
    <row r="260" spans="7:11">
      <c r="G260" s="1"/>
      <c r="H260" s="1"/>
      <c r="I260" s="1"/>
      <c r="J260" s="1"/>
      <c r="K260" s="1"/>
    </row>
    <row r="261" spans="7:11">
      <c r="G261" s="1"/>
      <c r="H261" s="1"/>
      <c r="I261" s="1"/>
      <c r="J261" s="1"/>
      <c r="K261" s="1"/>
    </row>
    <row r="262" spans="7:11">
      <c r="G262" s="1"/>
      <c r="H262" s="1"/>
      <c r="I262" s="1"/>
      <c r="J262" s="1"/>
      <c r="K262" s="1"/>
    </row>
    <row r="263" spans="7:11">
      <c r="G263" s="1"/>
      <c r="H263" s="1"/>
      <c r="I263" s="1"/>
      <c r="J263" s="1"/>
      <c r="K263" s="1"/>
    </row>
    <row r="264" spans="7:11">
      <c r="G264" s="1"/>
      <c r="H264" s="1"/>
      <c r="I264" s="1"/>
      <c r="J264" s="1"/>
      <c r="K264" s="1"/>
    </row>
    <row r="265" spans="7:11">
      <c r="G265" s="1"/>
      <c r="H265" s="1"/>
      <c r="I265" s="1"/>
      <c r="J265" s="1"/>
      <c r="K265" s="1"/>
    </row>
    <row r="266" spans="7:11">
      <c r="G266" s="1"/>
      <c r="H266" s="1"/>
      <c r="I266" s="1"/>
      <c r="J266" s="1"/>
      <c r="K266" s="1"/>
    </row>
    <row r="267" spans="7:11">
      <c r="G267" s="1"/>
      <c r="H267" s="1"/>
      <c r="I267" s="1"/>
      <c r="J267" s="1"/>
      <c r="K267" s="1"/>
    </row>
    <row r="268" spans="7:11">
      <c r="G268" s="1"/>
      <c r="H268" s="1"/>
      <c r="I268" s="1"/>
      <c r="J268" s="1"/>
      <c r="K268" s="1"/>
    </row>
    <row r="269" spans="7:11">
      <c r="G269" s="1"/>
      <c r="H269" s="1"/>
      <c r="I269" s="1"/>
      <c r="J269" s="1"/>
      <c r="K269" s="1"/>
    </row>
    <row r="270" spans="7:11">
      <c r="G270" s="1"/>
      <c r="H270" s="1"/>
      <c r="I270" s="1"/>
      <c r="J270" s="1"/>
      <c r="K270" s="1"/>
    </row>
    <row r="271" spans="7:11">
      <c r="G271" s="1"/>
      <c r="H271" s="1"/>
      <c r="I271" s="1"/>
      <c r="J271" s="1"/>
      <c r="K271" s="1"/>
    </row>
    <row r="272" spans="7:11">
      <c r="G272" s="1"/>
      <c r="H272" s="1"/>
      <c r="I272" s="1"/>
      <c r="J272" s="1"/>
      <c r="K272" s="1"/>
    </row>
    <row r="273" spans="7:11">
      <c r="G273" s="1"/>
      <c r="H273" s="1"/>
      <c r="I273" s="1"/>
      <c r="J273" s="1"/>
      <c r="K273" s="1"/>
    </row>
    <row r="274" spans="7:11">
      <c r="G274" s="1"/>
      <c r="H274" s="1"/>
      <c r="I274" s="1"/>
      <c r="J274" s="1"/>
      <c r="K274" s="1"/>
    </row>
    <row r="275" spans="7:11">
      <c r="G275" s="1"/>
      <c r="H275" s="1"/>
      <c r="I275" s="1"/>
      <c r="J275" s="1"/>
      <c r="K275" s="1"/>
    </row>
    <row r="276" spans="7:11">
      <c r="G276" s="1"/>
      <c r="H276" s="1"/>
      <c r="I276" s="1"/>
      <c r="J276" s="1"/>
      <c r="K276" s="1"/>
    </row>
    <row r="277" spans="7:11">
      <c r="G277" s="1"/>
      <c r="H277" s="1"/>
      <c r="I277" s="1"/>
      <c r="J277" s="1"/>
      <c r="K277" s="1"/>
    </row>
    <row r="278" spans="7:11">
      <c r="G278" s="1"/>
      <c r="H278" s="1"/>
      <c r="I278" s="1"/>
      <c r="J278" s="1"/>
      <c r="K278" s="1"/>
    </row>
    <row r="279" spans="7:11">
      <c r="G279" s="1"/>
      <c r="H279" s="1"/>
      <c r="I279" s="1"/>
      <c r="J279" s="1"/>
      <c r="K279"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D488-B044-4C36-BAAE-8B683BF3458E}">
  <sheetPr>
    <tabColor theme="5" tint="0.39997558519241921"/>
  </sheetPr>
  <dimension ref="A1:P279"/>
  <sheetViews>
    <sheetView zoomScale="109" zoomScaleNormal="100" workbookViewId="0"/>
  </sheetViews>
  <sheetFormatPr defaultRowHeight="15"/>
  <cols>
    <col min="1" max="1" width="4.5703125" style="1" customWidth="1"/>
    <col min="2" max="2" width="10.5703125" style="1" bestFit="1" customWidth="1"/>
    <col min="3" max="4" width="10.140625" style="1" customWidth="1"/>
    <col min="5" max="5" width="11.42578125" customWidth="1"/>
    <col min="6" max="6" width="10" style="1" customWidth="1"/>
    <col min="7" max="7" width="19.140625" customWidth="1"/>
    <col min="8" max="8" width="13.7109375" customWidth="1"/>
    <col min="9" max="9" width="9.140625" customWidth="1"/>
    <col min="10" max="10" width="11.5703125" customWidth="1"/>
    <col min="11" max="11" width="12" bestFit="1" customWidth="1"/>
    <col min="12" max="12" width="11" customWidth="1"/>
    <col min="13" max="13" width="12" bestFit="1" customWidth="1"/>
    <col min="15" max="16" width="12" bestFit="1" customWidth="1"/>
    <col min="17" max="17" width="14.7109375" customWidth="1"/>
    <col min="18" max="18" width="13.7109375" customWidth="1"/>
    <col min="19" max="20" width="12" bestFit="1" customWidth="1"/>
  </cols>
  <sheetData>
    <row r="1" spans="2:16" ht="18.75">
      <c r="B1" s="138" t="s">
        <v>613</v>
      </c>
      <c r="G1" s="1"/>
      <c r="H1" s="1"/>
      <c r="I1" s="1"/>
      <c r="J1" s="1"/>
      <c r="K1" s="1"/>
      <c r="L1" s="1"/>
      <c r="M1" s="1"/>
      <c r="N1" s="1"/>
      <c r="O1" s="1"/>
    </row>
    <row r="2" spans="2:16">
      <c r="B2" s="287" t="s">
        <v>604</v>
      </c>
      <c r="E2" s="1"/>
      <c r="G2" s="1"/>
      <c r="H2" s="1"/>
      <c r="I2" s="1"/>
      <c r="J2" s="1"/>
      <c r="K2" s="1"/>
      <c r="L2" s="1"/>
      <c r="M2" s="1"/>
      <c r="N2" s="1"/>
      <c r="O2" s="1"/>
      <c r="P2" s="1"/>
    </row>
    <row r="3" spans="2:16">
      <c r="B3" s="287"/>
      <c r="E3" s="327" t="s">
        <v>614</v>
      </c>
      <c r="G3" s="1"/>
      <c r="H3" s="1"/>
      <c r="I3" s="1"/>
      <c r="J3" s="1"/>
      <c r="K3" s="1"/>
      <c r="L3" s="1"/>
      <c r="M3" s="1"/>
      <c r="N3" s="1"/>
      <c r="O3" s="1"/>
      <c r="P3" s="1"/>
    </row>
    <row r="4" spans="2:16">
      <c r="B4" s="287"/>
      <c r="E4" s="330" t="s">
        <v>615</v>
      </c>
      <c r="G4" s="1"/>
      <c r="H4" s="1"/>
      <c r="I4" s="1"/>
      <c r="J4" s="1"/>
      <c r="K4" s="1"/>
      <c r="L4" s="1"/>
      <c r="M4" s="1"/>
      <c r="N4" s="1"/>
      <c r="O4" s="1"/>
      <c r="P4" s="1"/>
    </row>
    <row r="5" spans="2:16">
      <c r="E5" s="1"/>
      <c r="G5" s="1"/>
      <c r="H5" s="1"/>
      <c r="I5" s="1"/>
      <c r="J5" s="1"/>
      <c r="K5" s="1"/>
      <c r="L5" s="1"/>
      <c r="M5" s="1"/>
      <c r="N5" s="1"/>
      <c r="O5" s="1"/>
      <c r="P5" s="1"/>
    </row>
    <row r="6" spans="2:16">
      <c r="B6" s="1" t="s">
        <v>616</v>
      </c>
      <c r="E6" s="327">
        <f>Drawing!P31</f>
        <v>9.6586612835202033</v>
      </c>
      <c r="F6" s="121" t="s">
        <v>699</v>
      </c>
      <c r="G6" s="1"/>
      <c r="H6" s="1"/>
      <c r="I6" s="1"/>
      <c r="J6" s="1"/>
      <c r="K6" s="1"/>
      <c r="L6" s="1"/>
      <c r="M6" s="1"/>
      <c r="N6" s="1"/>
      <c r="O6" s="1"/>
      <c r="P6" s="1"/>
    </row>
    <row r="7" spans="2:16" hidden="1">
      <c r="B7" s="1" t="s">
        <v>617</v>
      </c>
      <c r="E7" s="328">
        <f>E6*14.7/E9*(460+E8)/(460+60)*1000</f>
        <v>192.99299644392971</v>
      </c>
      <c r="F7" s="121" t="s">
        <v>699</v>
      </c>
      <c r="G7" s="1" t="s">
        <v>618</v>
      </c>
      <c r="H7" s="1"/>
      <c r="I7" s="1"/>
      <c r="J7" s="1"/>
      <c r="K7" s="1"/>
      <c r="L7" s="1"/>
      <c r="M7" s="1"/>
      <c r="N7" s="1"/>
      <c r="O7" s="1"/>
      <c r="P7" s="1"/>
    </row>
    <row r="8" spans="2:16">
      <c r="B8" s="1" t="s">
        <v>619</v>
      </c>
      <c r="E8" s="328">
        <f>Drawing!P35</f>
        <v>105.45833333333333</v>
      </c>
      <c r="F8" s="121" t="s">
        <v>699</v>
      </c>
      <c r="G8" s="1"/>
      <c r="H8" s="1"/>
      <c r="I8" s="1"/>
      <c r="J8" s="1"/>
      <c r="K8" s="1"/>
      <c r="L8" s="1"/>
      <c r="M8" s="1"/>
      <c r="N8" s="1"/>
      <c r="O8" s="1"/>
      <c r="P8" s="1"/>
    </row>
    <row r="9" spans="2:16">
      <c r="B9" s="1" t="s">
        <v>620</v>
      </c>
      <c r="E9" s="328">
        <f>Drawing!P34</f>
        <v>800</v>
      </c>
      <c r="F9" s="121" t="s">
        <v>699</v>
      </c>
      <c r="G9" s="1"/>
      <c r="H9" s="1"/>
      <c r="I9" s="1"/>
      <c r="J9" s="1"/>
      <c r="K9" s="1"/>
      <c r="L9" s="1"/>
      <c r="M9" s="1"/>
      <c r="N9" s="1"/>
      <c r="O9" s="1"/>
      <c r="P9" s="1"/>
    </row>
    <row r="10" spans="2:16">
      <c r="B10" s="1" t="s">
        <v>621</v>
      </c>
      <c r="E10" s="327">
        <f>Drawing!U9*5280</f>
        <v>26400</v>
      </c>
      <c r="F10" s="121" t="s">
        <v>699</v>
      </c>
      <c r="G10" s="1"/>
      <c r="H10" s="1"/>
      <c r="I10" s="1"/>
      <c r="J10" s="1"/>
      <c r="K10" s="1"/>
      <c r="L10" s="1"/>
      <c r="M10" s="1"/>
      <c r="N10" s="1"/>
      <c r="O10" s="1"/>
      <c r="P10" s="1" t="s">
        <v>12</v>
      </c>
    </row>
    <row r="11" spans="2:16">
      <c r="B11" s="1" t="s">
        <v>622</v>
      </c>
      <c r="E11" s="327">
        <f>Drawing!U10</f>
        <v>6</v>
      </c>
      <c r="F11" s="121" t="s">
        <v>699</v>
      </c>
      <c r="G11" s="1"/>
      <c r="H11" s="1"/>
      <c r="I11" s="1"/>
      <c r="J11" s="1"/>
      <c r="K11" s="1"/>
      <c r="L11" s="1"/>
      <c r="M11" s="1"/>
      <c r="N11" s="1"/>
      <c r="O11" s="1"/>
      <c r="P11" s="1"/>
    </row>
    <row r="12" spans="2:16" hidden="1">
      <c r="B12" s="1" t="s">
        <v>623</v>
      </c>
      <c r="E12" s="329">
        <f>E11/12</f>
        <v>0.5</v>
      </c>
      <c r="G12" s="1"/>
      <c r="H12" s="1"/>
      <c r="I12" s="1"/>
      <c r="J12" s="1"/>
      <c r="K12" s="1"/>
      <c r="L12" s="1"/>
      <c r="M12" s="1"/>
      <c r="N12" s="1"/>
      <c r="O12" s="1"/>
      <c r="P12" s="1"/>
    </row>
    <row r="13" spans="2:16">
      <c r="B13" s="1" t="s">
        <v>624</v>
      </c>
      <c r="E13" s="329">
        <v>0.92</v>
      </c>
      <c r="F13" s="121" t="s">
        <v>700</v>
      </c>
      <c r="G13" s="1"/>
      <c r="H13" s="1" t="s">
        <v>12</v>
      </c>
      <c r="I13" s="1"/>
      <c r="J13" s="1"/>
      <c r="K13" s="1"/>
      <c r="L13" s="1"/>
      <c r="M13" s="1"/>
      <c r="N13" s="1"/>
      <c r="O13" s="1"/>
      <c r="P13" s="1"/>
    </row>
    <row r="14" spans="2:16">
      <c r="B14" s="1" t="s">
        <v>625</v>
      </c>
      <c r="E14" s="288">
        <f>1/'Prop Est Flash 1'!P25</f>
        <v>5.8385313802528066E-2</v>
      </c>
      <c r="F14" s="289" t="s">
        <v>626</v>
      </c>
      <c r="G14" s="1"/>
      <c r="H14" s="1"/>
      <c r="I14" s="1"/>
      <c r="J14" s="1"/>
      <c r="K14" s="1"/>
      <c r="L14" s="1"/>
      <c r="M14" s="1"/>
      <c r="N14" s="1"/>
      <c r="O14" s="1"/>
      <c r="P14" s="1"/>
    </row>
    <row r="15" spans="2:16">
      <c r="B15" s="1" t="s">
        <v>627</v>
      </c>
      <c r="E15" s="290">
        <f>[1]Properties!E34</f>
        <v>1.0618279569892475E-5</v>
      </c>
      <c r="F15" s="289" t="s">
        <v>628</v>
      </c>
      <c r="G15" s="1"/>
      <c r="H15" s="1"/>
      <c r="I15" s="1"/>
      <c r="J15" s="1"/>
      <c r="K15" s="1"/>
      <c r="L15" s="1"/>
      <c r="M15" s="1"/>
      <c r="N15" s="1"/>
      <c r="O15" s="1"/>
      <c r="P15" s="1"/>
    </row>
    <row r="16" spans="2:16" ht="15.75">
      <c r="B16" s="1" t="s">
        <v>629</v>
      </c>
      <c r="E16" s="288">
        <f>I89</f>
        <v>1.4923897295808928E-2</v>
      </c>
      <c r="F16" s="289" t="s">
        <v>630</v>
      </c>
      <c r="G16" s="1"/>
      <c r="H16" s="1"/>
      <c r="I16" s="1"/>
      <c r="J16" s="1"/>
      <c r="K16" s="1"/>
      <c r="L16" s="1"/>
      <c r="M16" s="1"/>
      <c r="N16" s="1"/>
      <c r="O16" s="1"/>
      <c r="P16" s="1"/>
    </row>
    <row r="17" spans="2:16">
      <c r="B17" s="1" t="s">
        <v>478</v>
      </c>
      <c r="E17" s="291">
        <f>E7*1000/(60*60*24*3.14*(E12/2)^2)</f>
        <v>11.381988466851245</v>
      </c>
      <c r="G17" s="1"/>
      <c r="H17" s="1"/>
      <c r="I17" s="1"/>
      <c r="J17" s="1"/>
      <c r="K17" s="1"/>
      <c r="L17" s="1"/>
      <c r="M17" s="1"/>
      <c r="N17" s="1"/>
      <c r="O17" s="1"/>
      <c r="P17" s="1"/>
    </row>
    <row r="18" spans="2:16">
      <c r="B18" s="1" t="s">
        <v>631</v>
      </c>
      <c r="E18" s="292">
        <f>E17*E10*E14/E15</f>
        <v>1652233909.3198032</v>
      </c>
      <c r="G18" s="1"/>
      <c r="H18" s="1"/>
      <c r="I18" s="1"/>
      <c r="J18" s="1"/>
      <c r="K18" s="1"/>
      <c r="L18" s="1"/>
      <c r="M18" s="1"/>
      <c r="N18" s="1"/>
      <c r="O18" s="1"/>
      <c r="P18" s="1"/>
    </row>
    <row r="19" spans="2:16">
      <c r="B19" s="1" t="s">
        <v>632</v>
      </c>
      <c r="E19" s="331">
        <f>E16*(E10/E12)*(E14*E17^2)/9265*E9/14.7</f>
        <v>35.009290056032697</v>
      </c>
      <c r="G19" s="1"/>
      <c r="H19" s="1"/>
      <c r="I19" s="1"/>
      <c r="J19" s="1"/>
      <c r="K19" s="1"/>
      <c r="L19" s="1"/>
      <c r="M19" s="1"/>
      <c r="N19" s="1"/>
      <c r="O19" s="1"/>
      <c r="P19" s="1"/>
    </row>
    <row r="20" spans="2:16" ht="17.25">
      <c r="B20" s="1" t="s">
        <v>633</v>
      </c>
      <c r="E20" s="293">
        <f>E19/E9</f>
        <v>4.3761612570040874E-2</v>
      </c>
      <c r="G20" s="1"/>
      <c r="H20" s="1"/>
      <c r="I20" s="1"/>
      <c r="J20" s="1"/>
      <c r="K20" s="1"/>
      <c r="L20" s="1"/>
      <c r="M20" s="1"/>
      <c r="N20" s="1"/>
      <c r="O20" s="1"/>
      <c r="P20" s="1"/>
    </row>
    <row r="21" spans="2:16">
      <c r="B21" s="1" t="s">
        <v>634</v>
      </c>
      <c r="E21" s="331">
        <f>E9-C106</f>
        <v>38.403526265391292</v>
      </c>
      <c r="G21" s="1"/>
      <c r="H21" s="1"/>
      <c r="I21" s="1"/>
      <c r="J21" s="1"/>
      <c r="K21" s="1"/>
      <c r="L21" s="1"/>
      <c r="M21" s="1"/>
      <c r="N21" s="1"/>
      <c r="O21" s="1"/>
      <c r="P21" s="1"/>
    </row>
    <row r="22" spans="2:16">
      <c r="B22" s="1" t="s">
        <v>635</v>
      </c>
      <c r="E22" s="331">
        <f>E9-C111</f>
        <v>25.216349876284994</v>
      </c>
      <c r="G22" s="1" t="s">
        <v>12</v>
      </c>
      <c r="H22" s="14"/>
      <c r="I22" s="1"/>
      <c r="J22" s="1"/>
      <c r="K22" s="1"/>
      <c r="L22" s="1"/>
      <c r="M22" s="1"/>
      <c r="N22" s="1"/>
      <c r="O22" s="1"/>
      <c r="P22" s="1"/>
    </row>
    <row r="23" spans="2:16" ht="12.75" customHeight="1">
      <c r="B23" s="1" t="s">
        <v>636</v>
      </c>
      <c r="E23" s="331">
        <f>E9-C116</f>
        <v>21.806987901190041</v>
      </c>
      <c r="G23" s="1"/>
      <c r="H23" s="14"/>
      <c r="I23" s="1"/>
      <c r="J23" s="1"/>
      <c r="K23" s="1"/>
      <c r="L23" s="1"/>
      <c r="M23" s="1"/>
      <c r="N23" s="1"/>
      <c r="O23" s="1"/>
      <c r="P23" s="1"/>
    </row>
    <row r="24" spans="2:16" s="1" customFormat="1" ht="13.5" customHeight="1">
      <c r="B24" s="1" t="s">
        <v>718</v>
      </c>
      <c r="E24" s="327">
        <v>1</v>
      </c>
      <c r="F24" s="291" t="s">
        <v>719</v>
      </c>
      <c r="H24" s="14"/>
    </row>
    <row r="25" spans="2:16" s="1" customFormat="1" ht="15" customHeight="1">
      <c r="B25" s="1" t="s">
        <v>717</v>
      </c>
      <c r="E25" s="331">
        <f>IF(1,E19,E23)</f>
        <v>35.009290056032697</v>
      </c>
      <c r="F25" s="291"/>
      <c r="H25" s="14"/>
    </row>
    <row r="26" spans="2:16" s="1" customFormat="1" ht="7.5" customHeight="1">
      <c r="F26" s="291"/>
      <c r="H26" s="14"/>
    </row>
    <row r="27" spans="2:16" s="1" customFormat="1" ht="18.75" customHeight="1">
      <c r="B27" s="294" t="s">
        <v>637</v>
      </c>
      <c r="E27" s="295"/>
      <c r="H27" s="14"/>
    </row>
    <row r="28" spans="2:16" s="1" customFormat="1" ht="18" customHeight="1">
      <c r="B28" s="294" t="s">
        <v>638</v>
      </c>
      <c r="F28" s="291"/>
    </row>
    <row r="29" spans="2:16" s="1" customFormat="1">
      <c r="F29" s="291"/>
    </row>
    <row r="30" spans="2:16" s="1" customFormat="1" ht="15.75">
      <c r="B30" s="296" t="s">
        <v>477</v>
      </c>
    </row>
    <row r="31" spans="2:16" s="1" customFormat="1" ht="9.75" customHeight="1"/>
    <row r="32" spans="2:16" s="1" customFormat="1">
      <c r="B32" s="297" t="s">
        <v>479</v>
      </c>
    </row>
    <row r="33" spans="2:2" s="1" customFormat="1" ht="17.25">
      <c r="B33" s="297" t="s">
        <v>639</v>
      </c>
    </row>
    <row r="34" spans="2:2" s="1" customFormat="1" ht="9" customHeight="1"/>
    <row r="35" spans="2:2" s="1" customFormat="1">
      <c r="B35" s="297" t="s">
        <v>371</v>
      </c>
    </row>
    <row r="36" spans="2:2" s="1" customFormat="1">
      <c r="B36" s="298" t="s">
        <v>640</v>
      </c>
    </row>
    <row r="37" spans="2:2" s="1" customFormat="1">
      <c r="B37" s="299" t="s">
        <v>641</v>
      </c>
    </row>
    <row r="38" spans="2:2" s="1" customFormat="1">
      <c r="B38" s="299" t="s">
        <v>642</v>
      </c>
    </row>
    <row r="39" spans="2:2" s="1" customFormat="1">
      <c r="B39" s="299" t="s">
        <v>643</v>
      </c>
    </row>
    <row r="40" spans="2:2" s="1" customFormat="1">
      <c r="B40" s="300" t="s">
        <v>644</v>
      </c>
    </row>
    <row r="41" spans="2:2" s="1" customFormat="1">
      <c r="B41" s="298" t="s">
        <v>645</v>
      </c>
    </row>
    <row r="42" spans="2:2" s="1" customFormat="1"/>
    <row r="43" spans="2:2" s="1" customFormat="1" ht="15.75">
      <c r="B43" s="301" t="s">
        <v>646</v>
      </c>
    </row>
    <row r="44" spans="2:2" s="1" customFormat="1" ht="9" customHeight="1">
      <c r="B44" s="302"/>
    </row>
    <row r="45" spans="2:2" s="1" customFormat="1">
      <c r="B45" s="1" t="s">
        <v>647</v>
      </c>
    </row>
    <row r="46" spans="2:2" s="1" customFormat="1">
      <c r="B46" s="121" t="s">
        <v>648</v>
      </c>
    </row>
    <row r="47" spans="2:2" s="1" customFormat="1">
      <c r="B47" s="121" t="s">
        <v>649</v>
      </c>
    </row>
    <row r="48" spans="2:2" s="1" customFormat="1" ht="8.25" customHeight="1"/>
    <row r="49" spans="2:2" s="1" customFormat="1">
      <c r="B49" s="297" t="s">
        <v>371</v>
      </c>
    </row>
    <row r="50" spans="2:2" s="1" customFormat="1">
      <c r="B50" s="1" t="s">
        <v>480</v>
      </c>
    </row>
    <row r="51" spans="2:2" s="1" customFormat="1" ht="15.75">
      <c r="B51" s="1" t="s">
        <v>650</v>
      </c>
    </row>
    <row r="52" spans="2:2" s="1" customFormat="1">
      <c r="B52" s="1" t="s">
        <v>651</v>
      </c>
    </row>
    <row r="53" spans="2:2" s="1" customFormat="1">
      <c r="B53" s="1" t="s">
        <v>652</v>
      </c>
    </row>
    <row r="54" spans="2:2" s="1" customFormat="1">
      <c r="B54" s="1" t="s">
        <v>653</v>
      </c>
    </row>
    <row r="55" spans="2:2" s="1" customFormat="1">
      <c r="B55" s="1" t="s">
        <v>654</v>
      </c>
    </row>
    <row r="56" spans="2:2" s="1" customFormat="1"/>
    <row r="57" spans="2:2" s="1" customFormat="1" ht="15.75">
      <c r="B57" s="301" t="s">
        <v>655</v>
      </c>
    </row>
    <row r="58" spans="2:2" s="1" customFormat="1"/>
    <row r="59" spans="2:2" s="1" customFormat="1"/>
    <row r="60" spans="2:2" s="1" customFormat="1"/>
    <row r="61" spans="2:2" s="1" customFormat="1"/>
    <row r="62" spans="2:2" s="1" customFormat="1"/>
    <row r="63" spans="2:2" s="1" customFormat="1"/>
    <row r="64" spans="2:2"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3:10" s="1" customFormat="1"/>
    <row r="82" spans="3:10" s="1" customFormat="1"/>
    <row r="83" spans="3:10" s="1" customFormat="1"/>
    <row r="84" spans="3:10" s="1" customFormat="1"/>
    <row r="85" spans="3:10" s="1" customFormat="1">
      <c r="C85" s="302" t="s">
        <v>656</v>
      </c>
    </row>
    <row r="86" spans="3:10" s="1" customFormat="1">
      <c r="H86" s="6" t="s">
        <v>657</v>
      </c>
      <c r="I86" s="303" t="s">
        <v>658</v>
      </c>
      <c r="J86" s="226" t="s">
        <v>659</v>
      </c>
    </row>
    <row r="87" spans="3:10" s="1" customFormat="1">
      <c r="C87" s="304" t="s">
        <v>660</v>
      </c>
      <c r="D87" s="305"/>
      <c r="E87" s="305"/>
      <c r="F87" s="306" t="s">
        <v>661</v>
      </c>
      <c r="G87" s="305"/>
      <c r="H87" s="307">
        <f>E18</f>
        <v>1652233909.3198032</v>
      </c>
      <c r="I87" s="308">
        <f>64/H87</f>
        <v>3.8735435484644981E-8</v>
      </c>
      <c r="J87" s="50"/>
    </row>
    <row r="88" spans="3:10" s="1" customFormat="1" ht="15.75">
      <c r="C88" s="309" t="s">
        <v>662</v>
      </c>
      <c r="F88" s="1" t="s">
        <v>663</v>
      </c>
      <c r="H88" s="310">
        <f>H87</f>
        <v>1652233909.3198032</v>
      </c>
      <c r="I88" s="311">
        <f>0.316/H88^0.25</f>
        <v>1.5673615906209024E-3</v>
      </c>
      <c r="J88" s="312"/>
    </row>
    <row r="89" spans="3:10" s="1" customFormat="1" ht="15.75">
      <c r="C89" s="309" t="s">
        <v>664</v>
      </c>
      <c r="F89" s="1" t="s">
        <v>665</v>
      </c>
      <c r="H89" s="310">
        <f>H88</f>
        <v>1652233909.3198032</v>
      </c>
      <c r="I89" s="311">
        <f>(1.14+2*LOG(E12/F94))^-2</f>
        <v>1.4923897295808928E-2</v>
      </c>
      <c r="J89" s="313">
        <f>H94</f>
        <v>2.9999999999999997E-4</v>
      </c>
    </row>
    <row r="90" spans="3:10" s="1" customFormat="1" ht="15.75">
      <c r="C90" s="314" t="s">
        <v>666</v>
      </c>
      <c r="D90" s="9"/>
      <c r="E90" s="9"/>
      <c r="F90" s="9" t="s">
        <v>667</v>
      </c>
      <c r="G90" s="9"/>
      <c r="H90" s="315">
        <f>H89</f>
        <v>1652233909.3198032</v>
      </c>
      <c r="I90" s="316">
        <f>(-2*LOG((J90)/3.7+2.51/(H90*0.012^0.5)))^-2</f>
        <v>1.4937562464416673E-2</v>
      </c>
      <c r="J90" s="317">
        <f>H94</f>
        <v>2.9999999999999997E-4</v>
      </c>
    </row>
    <row r="91" spans="3:10" s="1" customFormat="1">
      <c r="D91" s="289"/>
      <c r="H91" s="59"/>
      <c r="I91" s="288"/>
    </row>
    <row r="92" spans="3:10" s="1" customFormat="1">
      <c r="D92" s="318" t="s">
        <v>668</v>
      </c>
      <c r="E92" s="56"/>
      <c r="F92" s="319" t="s">
        <v>669</v>
      </c>
      <c r="G92" s="226" t="s">
        <v>670</v>
      </c>
      <c r="H92" s="6" t="s">
        <v>671</v>
      </c>
      <c r="I92" s="288"/>
    </row>
    <row r="93" spans="3:10" s="1" customFormat="1">
      <c r="D93" s="309" t="s">
        <v>672</v>
      </c>
      <c r="F93" s="312">
        <v>5.0000000000000004E-6</v>
      </c>
      <c r="G93" s="312">
        <f>F93*12*25.4</f>
        <v>1.5240000000000002E-3</v>
      </c>
      <c r="H93" s="320">
        <f>F93/$E$12</f>
        <v>1.0000000000000001E-5</v>
      </c>
      <c r="I93" s="288"/>
    </row>
    <row r="94" spans="3:10" s="1" customFormat="1">
      <c r="D94" s="309" t="s">
        <v>673</v>
      </c>
      <c r="F94" s="312">
        <v>1.4999999999999999E-4</v>
      </c>
      <c r="G94" s="312">
        <f>F94*12*25.4</f>
        <v>4.5719999999999997E-2</v>
      </c>
      <c r="H94" s="313">
        <f t="shared" ref="H94:H97" si="0">F94/$E$12</f>
        <v>2.9999999999999997E-4</v>
      </c>
      <c r="I94" s="288"/>
    </row>
    <row r="95" spans="3:10" s="1" customFormat="1">
      <c r="D95" s="309" t="s">
        <v>674</v>
      </c>
      <c r="F95" s="312">
        <v>5.0000000000000001E-4</v>
      </c>
      <c r="G95" s="312">
        <f t="shared" ref="G95:G97" si="1">F95*12*25.4</f>
        <v>0.15240000000000001</v>
      </c>
      <c r="H95" s="313">
        <f t="shared" si="0"/>
        <v>1E-3</v>
      </c>
      <c r="I95" s="288"/>
    </row>
    <row r="96" spans="3:10" s="1" customFormat="1">
      <c r="D96" s="309" t="s">
        <v>675</v>
      </c>
      <c r="F96" s="312">
        <v>8.4999999999999995E-4</v>
      </c>
      <c r="G96" s="312">
        <f t="shared" si="1"/>
        <v>0.25907999999999998</v>
      </c>
      <c r="H96" s="313">
        <f t="shared" si="0"/>
        <v>1.6999999999999999E-3</v>
      </c>
      <c r="I96" s="288"/>
    </row>
    <row r="97" spans="2:9" s="1" customFormat="1">
      <c r="D97" s="314" t="s">
        <v>676</v>
      </c>
      <c r="E97" s="9"/>
      <c r="F97" s="53">
        <v>5.0000000000000001E-4</v>
      </c>
      <c r="G97" s="53">
        <f t="shared" si="1"/>
        <v>0.15240000000000001</v>
      </c>
      <c r="H97" s="317">
        <f t="shared" si="0"/>
        <v>1E-3</v>
      </c>
      <c r="I97" s="288"/>
    </row>
    <row r="98" spans="2:9" s="1" customFormat="1">
      <c r="F98" s="52"/>
      <c r="G98" s="225"/>
      <c r="H98" s="292"/>
      <c r="I98" s="288"/>
    </row>
    <row r="99" spans="2:9" s="1" customFormat="1">
      <c r="G99" s="4"/>
      <c r="H99" s="61" t="s">
        <v>657</v>
      </c>
      <c r="I99" s="226" t="s">
        <v>658</v>
      </c>
    </row>
    <row r="100" spans="2:9" s="1" customFormat="1">
      <c r="C100" s="302" t="s">
        <v>677</v>
      </c>
      <c r="D100" s="302"/>
      <c r="E100" s="302"/>
      <c r="G100" s="321" t="s">
        <v>678</v>
      </c>
      <c r="H100" s="322">
        <f>H90</f>
        <v>1652233909.3198032</v>
      </c>
      <c r="I100" s="312">
        <v>8.0000000000000002E-3</v>
      </c>
    </row>
    <row r="101" spans="2:9" s="1" customFormat="1">
      <c r="G101" s="323" t="s">
        <v>679</v>
      </c>
      <c r="H101" s="324">
        <f>H100</f>
        <v>1652233909.3198032</v>
      </c>
      <c r="I101" s="53">
        <v>1.2999999999999999E-2</v>
      </c>
    </row>
    <row r="102" spans="2:9" s="1" customFormat="1"/>
    <row r="103" spans="2:9" s="1" customFormat="1" ht="15.75">
      <c r="B103" s="301" t="s">
        <v>680</v>
      </c>
    </row>
    <row r="104" spans="2:9" s="1" customFormat="1"/>
    <row r="105" spans="2:9" s="1" customFormat="1" ht="15.75">
      <c r="B105" s="1" t="s">
        <v>681</v>
      </c>
    </row>
    <row r="106" spans="2:9" s="1" customFormat="1">
      <c r="B106" s="1" t="s">
        <v>682</v>
      </c>
      <c r="C106" s="325">
        <f>(E9^2-(E10/5280*[1]Properties!O24*(460+E8))*(E6*1000000/(433.65*(520/14.7)*(E12*12)^2.67))^2)^0.5</f>
        <v>761.59647373460871</v>
      </c>
      <c r="D106" s="1" t="s">
        <v>57</v>
      </c>
    </row>
    <row r="107" spans="2:9" s="1" customFormat="1">
      <c r="C107" s="325"/>
    </row>
    <row r="108" spans="2:9" s="1" customFormat="1" ht="15.75">
      <c r="B108" s="301" t="s">
        <v>683</v>
      </c>
      <c r="C108" s="225"/>
    </row>
    <row r="109" spans="2:9" s="1" customFormat="1">
      <c r="C109" s="225"/>
    </row>
    <row r="110" spans="2:9" s="1" customFormat="1" ht="15.75">
      <c r="B110" s="1" t="s">
        <v>684</v>
      </c>
      <c r="C110" s="225"/>
    </row>
    <row r="111" spans="2:9" s="1" customFormat="1">
      <c r="B111" s="1" t="s">
        <v>682</v>
      </c>
      <c r="C111" s="325">
        <f>((E9^2)-((E6*1000000)/(435.87*E13*(520/14.7)^1.0788*(E12*12)^2.6182))^(1/0.5394)*([1]Properties!O24^0.8539*[1]Properties!K24*(460+E8)*E10/5280))^0.5</f>
        <v>774.78365012371501</v>
      </c>
      <c r="D111" s="1" t="s">
        <v>57</v>
      </c>
    </row>
    <row r="112" spans="2:9" s="1" customFormat="1">
      <c r="C112" s="225"/>
    </row>
    <row r="113" spans="2:4" s="1" customFormat="1" ht="15.75">
      <c r="B113" s="301" t="s">
        <v>685</v>
      </c>
      <c r="C113" s="225"/>
    </row>
    <row r="114" spans="2:4" s="1" customFormat="1">
      <c r="C114" s="225"/>
    </row>
    <row r="115" spans="2:4" s="1" customFormat="1" ht="15.75">
      <c r="B115" s="1" t="s">
        <v>686</v>
      </c>
      <c r="C115" s="225"/>
    </row>
    <row r="116" spans="2:4" s="1" customFormat="1">
      <c r="B116" s="1" t="s">
        <v>682</v>
      </c>
      <c r="C116" s="325">
        <f>((E9^2)-((E6*1000000)/((737*E13*(520/14.7)^1.02)*(E12*12)^2.53))^(1/0.51)*([1]Properties!O24^0.8539*(460+E8)*[1]Properties!K24*E10/5280))^0.5</f>
        <v>778.19301209880996</v>
      </c>
      <c r="D116" s="1" t="s">
        <v>57</v>
      </c>
    </row>
    <row r="117" spans="2:4" s="1" customFormat="1"/>
    <row r="118" spans="2:4" s="1" customFormat="1">
      <c r="B118" s="326" t="s">
        <v>687</v>
      </c>
    </row>
    <row r="119" spans="2:4" s="1" customFormat="1">
      <c r="B119" s="1" t="s">
        <v>688</v>
      </c>
    </row>
    <row r="120" spans="2:4" s="1" customFormat="1">
      <c r="B120" s="300" t="s">
        <v>689</v>
      </c>
    </row>
    <row r="121" spans="2:4" s="1" customFormat="1">
      <c r="B121" s="1" t="s">
        <v>690</v>
      </c>
    </row>
    <row r="122" spans="2:4" s="1" customFormat="1">
      <c r="B122" s="1" t="s">
        <v>691</v>
      </c>
    </row>
    <row r="123" spans="2:4" s="1" customFormat="1">
      <c r="B123" s="1" t="s">
        <v>692</v>
      </c>
    </row>
    <row r="124" spans="2:4" s="1" customFormat="1">
      <c r="B124" s="1" t="s">
        <v>693</v>
      </c>
    </row>
    <row r="125" spans="2:4" s="1" customFormat="1">
      <c r="B125" s="1" t="s">
        <v>694</v>
      </c>
    </row>
    <row r="126" spans="2:4" s="1" customFormat="1">
      <c r="B126" s="1" t="s">
        <v>695</v>
      </c>
    </row>
    <row r="127" spans="2:4" s="1" customFormat="1">
      <c r="B127" s="1" t="s">
        <v>696</v>
      </c>
    </row>
    <row r="128" spans="2:4" s="1" customFormat="1">
      <c r="B128" s="1" t="s">
        <v>697</v>
      </c>
    </row>
    <row r="129" spans="2:2" s="1" customFormat="1">
      <c r="B129" s="1" t="s">
        <v>698</v>
      </c>
    </row>
    <row r="130" spans="2:2" s="1" customFormat="1"/>
    <row r="131" spans="2:2" s="1" customFormat="1"/>
    <row r="132" spans="2:2" s="1" customFormat="1"/>
    <row r="133" spans="2:2" s="1" customFormat="1"/>
    <row r="134" spans="2:2" s="1" customFormat="1"/>
    <row r="135" spans="2:2" s="1" customFormat="1"/>
    <row r="136" spans="2:2" s="1" customFormat="1"/>
    <row r="137" spans="2:2" s="1" customFormat="1"/>
    <row r="138" spans="2:2" s="1" customFormat="1"/>
    <row r="139" spans="2:2" s="1" customFormat="1"/>
    <row r="140" spans="2:2" s="1" customFormat="1"/>
    <row r="141" spans="2:2" s="1" customFormat="1"/>
    <row r="142" spans="2:2" s="1" customFormat="1"/>
    <row r="143" spans="2:2" s="1" customFormat="1"/>
    <row r="144" spans="2:2"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pans="7:16" s="1" customFormat="1"/>
    <row r="210" spans="7:16" s="1" customFormat="1"/>
    <row r="211" spans="7:16" s="1" customFormat="1"/>
    <row r="212" spans="7:16" s="1" customFormat="1"/>
    <row r="213" spans="7:16" s="1" customFormat="1"/>
    <row r="214" spans="7:16" s="1" customFormat="1"/>
    <row r="215" spans="7:16" s="1" customFormat="1"/>
    <row r="216" spans="7:16">
      <c r="G216" s="1"/>
      <c r="H216" s="1"/>
      <c r="I216" s="1"/>
      <c r="J216" s="1"/>
      <c r="K216" s="1"/>
      <c r="L216" s="1"/>
      <c r="M216" s="1"/>
      <c r="N216" s="1"/>
      <c r="O216" s="1"/>
      <c r="P216" s="1"/>
    </row>
    <row r="217" spans="7:16">
      <c r="G217" s="1"/>
      <c r="H217" s="1"/>
      <c r="I217" s="1"/>
      <c r="J217" s="1"/>
      <c r="K217" s="1"/>
      <c r="L217" s="1"/>
      <c r="M217" s="1"/>
      <c r="N217" s="1"/>
      <c r="O217" s="1"/>
      <c r="P217" s="1"/>
    </row>
    <row r="218" spans="7:16">
      <c r="G218" s="1"/>
      <c r="H218" s="1"/>
      <c r="I218" s="1"/>
      <c r="J218" s="1"/>
      <c r="K218" s="1"/>
    </row>
    <row r="219" spans="7:16">
      <c r="G219" s="1"/>
      <c r="H219" s="1"/>
      <c r="I219" s="1"/>
      <c r="J219" s="1"/>
      <c r="K219" s="1"/>
    </row>
    <row r="220" spans="7:16">
      <c r="G220" s="1"/>
      <c r="H220" s="1"/>
      <c r="I220" s="1"/>
      <c r="J220" s="1"/>
      <c r="K220" s="1"/>
    </row>
    <row r="221" spans="7:16">
      <c r="G221" s="1"/>
      <c r="H221" s="1"/>
      <c r="I221" s="1"/>
      <c r="J221" s="1"/>
      <c r="K221" s="1"/>
    </row>
    <row r="222" spans="7:16">
      <c r="G222" s="1"/>
      <c r="H222" s="1"/>
      <c r="I222" s="1"/>
      <c r="J222" s="1"/>
      <c r="K222" s="1"/>
    </row>
    <row r="223" spans="7:16">
      <c r="G223" s="1"/>
      <c r="H223" s="1"/>
      <c r="I223" s="1"/>
      <c r="J223" s="1"/>
      <c r="K223" s="1"/>
    </row>
    <row r="224" spans="7:16">
      <c r="G224" s="1"/>
      <c r="H224" s="1"/>
      <c r="I224" s="1"/>
      <c r="J224" s="1"/>
      <c r="K224" s="1"/>
    </row>
    <row r="225" spans="7:11">
      <c r="G225" s="1"/>
      <c r="H225" s="1"/>
      <c r="I225" s="1"/>
      <c r="J225" s="1"/>
      <c r="K225" s="1"/>
    </row>
    <row r="226" spans="7:11">
      <c r="G226" s="1"/>
      <c r="H226" s="1"/>
      <c r="I226" s="1"/>
      <c r="J226" s="1"/>
      <c r="K226" s="1"/>
    </row>
    <row r="227" spans="7:11">
      <c r="G227" s="1"/>
      <c r="H227" s="1"/>
      <c r="I227" s="1"/>
      <c r="J227" s="1"/>
      <c r="K227" s="1"/>
    </row>
    <row r="228" spans="7:11">
      <c r="G228" s="1"/>
      <c r="H228" s="1"/>
      <c r="I228" s="1"/>
      <c r="J228" s="1"/>
      <c r="K228" s="1"/>
    </row>
    <row r="229" spans="7:11">
      <c r="G229" s="1"/>
      <c r="H229" s="1"/>
      <c r="I229" s="1"/>
      <c r="J229" s="1"/>
      <c r="K229" s="1"/>
    </row>
    <row r="230" spans="7:11">
      <c r="G230" s="1"/>
      <c r="H230" s="1"/>
      <c r="I230" s="1"/>
      <c r="J230" s="1"/>
      <c r="K230" s="1"/>
    </row>
    <row r="231" spans="7:11">
      <c r="G231" s="1"/>
      <c r="H231" s="1"/>
      <c r="I231" s="1"/>
      <c r="J231" s="1"/>
      <c r="K231" s="1"/>
    </row>
    <row r="232" spans="7:11">
      <c r="G232" s="1"/>
      <c r="H232" s="1"/>
      <c r="I232" s="1"/>
      <c r="J232" s="1"/>
      <c r="K232" s="1"/>
    </row>
    <row r="233" spans="7:11">
      <c r="G233" s="1"/>
      <c r="H233" s="1"/>
      <c r="I233" s="1"/>
      <c r="J233" s="1"/>
      <c r="K233" s="1"/>
    </row>
    <row r="234" spans="7:11">
      <c r="G234" s="1"/>
      <c r="H234" s="1"/>
      <c r="I234" s="1"/>
      <c r="J234" s="1"/>
      <c r="K234" s="1"/>
    </row>
    <row r="235" spans="7:11">
      <c r="G235" s="1"/>
      <c r="H235" s="1"/>
      <c r="I235" s="1"/>
      <c r="J235" s="1"/>
      <c r="K235" s="1"/>
    </row>
    <row r="236" spans="7:11">
      <c r="G236" s="1"/>
      <c r="H236" s="1"/>
      <c r="I236" s="1"/>
      <c r="J236" s="1"/>
      <c r="K236" s="1"/>
    </row>
    <row r="237" spans="7:11">
      <c r="G237" s="1"/>
      <c r="H237" s="1"/>
      <c r="I237" s="1"/>
      <c r="J237" s="1"/>
      <c r="K237" s="1"/>
    </row>
    <row r="238" spans="7:11">
      <c r="G238" s="1"/>
      <c r="H238" s="1"/>
      <c r="I238" s="1"/>
      <c r="J238" s="1"/>
      <c r="K238" s="1"/>
    </row>
    <row r="239" spans="7:11">
      <c r="G239" s="1"/>
      <c r="H239" s="1"/>
      <c r="I239" s="1"/>
      <c r="J239" s="1"/>
      <c r="K239" s="1"/>
    </row>
    <row r="240" spans="7:11">
      <c r="G240" s="1"/>
      <c r="H240" s="1"/>
      <c r="I240" s="1"/>
      <c r="J240" s="1"/>
      <c r="K240" s="1"/>
    </row>
    <row r="241" spans="7:11">
      <c r="G241" s="1"/>
      <c r="H241" s="1"/>
      <c r="I241" s="1"/>
      <c r="J241" s="1"/>
      <c r="K241" s="1"/>
    </row>
    <row r="242" spans="7:11">
      <c r="G242" s="1"/>
      <c r="H242" s="1"/>
      <c r="I242" s="1"/>
      <c r="J242" s="1"/>
      <c r="K242" s="1"/>
    </row>
    <row r="243" spans="7:11">
      <c r="G243" s="1"/>
      <c r="H243" s="1"/>
      <c r="I243" s="1"/>
      <c r="J243" s="1"/>
      <c r="K243" s="1"/>
    </row>
    <row r="244" spans="7:11">
      <c r="G244" s="1"/>
      <c r="H244" s="1"/>
      <c r="I244" s="1"/>
      <c r="J244" s="1"/>
      <c r="K244" s="1"/>
    </row>
    <row r="245" spans="7:11">
      <c r="G245" s="1"/>
      <c r="H245" s="1"/>
      <c r="I245" s="1"/>
      <c r="J245" s="1"/>
      <c r="K245" s="1"/>
    </row>
    <row r="246" spans="7:11">
      <c r="G246" s="1"/>
      <c r="H246" s="1"/>
      <c r="I246" s="1"/>
      <c r="J246" s="1"/>
      <c r="K246" s="1"/>
    </row>
    <row r="247" spans="7:11">
      <c r="G247" s="1"/>
      <c r="H247" s="1"/>
      <c r="I247" s="1"/>
      <c r="J247" s="1"/>
      <c r="K247" s="1"/>
    </row>
    <row r="248" spans="7:11">
      <c r="G248" s="1"/>
      <c r="H248" s="1"/>
      <c r="I248" s="1"/>
      <c r="J248" s="1"/>
      <c r="K248" s="1"/>
    </row>
    <row r="249" spans="7:11">
      <c r="G249" s="1"/>
      <c r="H249" s="1"/>
      <c r="I249" s="1"/>
      <c r="J249" s="1"/>
      <c r="K249" s="1"/>
    </row>
    <row r="250" spans="7:11">
      <c r="G250" s="1"/>
      <c r="H250" s="1"/>
      <c r="I250" s="1"/>
      <c r="J250" s="1"/>
      <c r="K250" s="1"/>
    </row>
    <row r="251" spans="7:11">
      <c r="G251" s="1"/>
      <c r="H251" s="1"/>
      <c r="I251" s="1"/>
      <c r="J251" s="1"/>
      <c r="K251" s="1"/>
    </row>
    <row r="252" spans="7:11">
      <c r="G252" s="1"/>
      <c r="H252" s="1"/>
      <c r="I252" s="1"/>
      <c r="J252" s="1"/>
      <c r="K252" s="1"/>
    </row>
    <row r="253" spans="7:11">
      <c r="G253" s="1"/>
      <c r="H253" s="1"/>
      <c r="I253" s="1"/>
      <c r="J253" s="1"/>
      <c r="K253" s="1"/>
    </row>
    <row r="254" spans="7:11">
      <c r="G254" s="1"/>
      <c r="H254" s="1"/>
      <c r="I254" s="1"/>
      <c r="J254" s="1"/>
      <c r="K254" s="1"/>
    </row>
    <row r="255" spans="7:11">
      <c r="G255" s="1"/>
      <c r="H255" s="1"/>
      <c r="I255" s="1"/>
      <c r="J255" s="1"/>
      <c r="K255" s="1"/>
    </row>
    <row r="256" spans="7:11">
      <c r="G256" s="1"/>
      <c r="H256" s="1"/>
      <c r="I256" s="1"/>
      <c r="J256" s="1"/>
      <c r="K256" s="1"/>
    </row>
    <row r="257" spans="7:11">
      <c r="G257" s="1"/>
      <c r="H257" s="1"/>
      <c r="I257" s="1"/>
      <c r="J257" s="1"/>
      <c r="K257" s="1"/>
    </row>
    <row r="258" spans="7:11">
      <c r="G258" s="1"/>
      <c r="H258" s="1"/>
      <c r="I258" s="1"/>
      <c r="J258" s="1"/>
      <c r="K258" s="1"/>
    </row>
    <row r="259" spans="7:11">
      <c r="G259" s="1"/>
      <c r="H259" s="1"/>
      <c r="I259" s="1"/>
      <c r="J259" s="1"/>
      <c r="K259" s="1"/>
    </row>
    <row r="260" spans="7:11">
      <c r="G260" s="1"/>
      <c r="H260" s="1"/>
      <c r="I260" s="1"/>
      <c r="J260" s="1"/>
      <c r="K260" s="1"/>
    </row>
    <row r="261" spans="7:11">
      <c r="G261" s="1"/>
      <c r="H261" s="1"/>
      <c r="I261" s="1"/>
      <c r="J261" s="1"/>
      <c r="K261" s="1"/>
    </row>
    <row r="262" spans="7:11">
      <c r="G262" s="1"/>
      <c r="H262" s="1"/>
      <c r="I262" s="1"/>
      <c r="J262" s="1"/>
      <c r="K262" s="1"/>
    </row>
    <row r="263" spans="7:11">
      <c r="G263" s="1"/>
      <c r="H263" s="1"/>
      <c r="I263" s="1"/>
      <c r="J263" s="1"/>
      <c r="K263" s="1"/>
    </row>
    <row r="264" spans="7:11">
      <c r="G264" s="1"/>
      <c r="H264" s="1"/>
      <c r="I264" s="1"/>
      <c r="J264" s="1"/>
      <c r="K264" s="1"/>
    </row>
    <row r="265" spans="7:11">
      <c r="G265" s="1"/>
      <c r="H265" s="1"/>
      <c r="I265" s="1"/>
      <c r="J265" s="1"/>
      <c r="K265" s="1"/>
    </row>
    <row r="266" spans="7:11">
      <c r="G266" s="1"/>
      <c r="H266" s="1"/>
      <c r="I266" s="1"/>
      <c r="J266" s="1"/>
      <c r="K266" s="1"/>
    </row>
    <row r="267" spans="7:11">
      <c r="G267" s="1"/>
      <c r="H267" s="1"/>
      <c r="I267" s="1"/>
      <c r="J267" s="1"/>
      <c r="K267" s="1"/>
    </row>
    <row r="268" spans="7:11">
      <c r="G268" s="1"/>
      <c r="H268" s="1"/>
      <c r="I268" s="1"/>
      <c r="J268" s="1"/>
      <c r="K268" s="1"/>
    </row>
    <row r="269" spans="7:11">
      <c r="G269" s="1"/>
      <c r="H269" s="1"/>
      <c r="I269" s="1"/>
      <c r="J269" s="1"/>
      <c r="K269" s="1"/>
    </row>
    <row r="270" spans="7:11">
      <c r="G270" s="1"/>
      <c r="H270" s="1"/>
      <c r="I270" s="1"/>
      <c r="J270" s="1"/>
      <c r="K270" s="1"/>
    </row>
    <row r="271" spans="7:11">
      <c r="G271" s="1"/>
      <c r="H271" s="1"/>
      <c r="I271" s="1"/>
      <c r="J271" s="1"/>
      <c r="K271" s="1"/>
    </row>
    <row r="272" spans="7:11">
      <c r="G272" s="1"/>
      <c r="H272" s="1"/>
      <c r="I272" s="1"/>
      <c r="J272" s="1"/>
      <c r="K272" s="1"/>
    </row>
    <row r="273" spans="7:11">
      <c r="G273" s="1"/>
      <c r="H273" s="1"/>
      <c r="I273" s="1"/>
      <c r="J273" s="1"/>
      <c r="K273" s="1"/>
    </row>
    <row r="274" spans="7:11">
      <c r="G274" s="1"/>
      <c r="H274" s="1"/>
      <c r="I274" s="1"/>
      <c r="J274" s="1"/>
      <c r="K274" s="1"/>
    </row>
    <row r="275" spans="7:11">
      <c r="G275" s="1"/>
      <c r="H275" s="1"/>
      <c r="I275" s="1"/>
      <c r="J275" s="1"/>
      <c r="K275" s="1"/>
    </row>
    <row r="276" spans="7:11">
      <c r="G276" s="1"/>
      <c r="H276" s="1"/>
      <c r="I276" s="1"/>
      <c r="J276" s="1"/>
      <c r="K276" s="1"/>
    </row>
    <row r="277" spans="7:11">
      <c r="G277" s="1"/>
      <c r="H277" s="1"/>
      <c r="I277" s="1"/>
      <c r="J277" s="1"/>
      <c r="K277" s="1"/>
    </row>
    <row r="278" spans="7:11">
      <c r="G278" s="1"/>
      <c r="H278" s="1"/>
      <c r="I278" s="1"/>
      <c r="J278" s="1"/>
      <c r="K278" s="1"/>
    </row>
    <row r="279" spans="7:11">
      <c r="G279" s="1"/>
      <c r="H279" s="1"/>
      <c r="I279" s="1"/>
      <c r="J279" s="1"/>
      <c r="K279"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D3C2-237F-4FD0-B271-3DD4C0954069}">
  <sheetPr>
    <tabColor theme="6" tint="0.39997558519241921"/>
  </sheetPr>
  <dimension ref="A1:BP275"/>
  <sheetViews>
    <sheetView showGridLines="0" zoomScale="85" zoomScaleNormal="85" workbookViewId="0"/>
  </sheetViews>
  <sheetFormatPr defaultRowHeight="15"/>
  <cols>
    <col min="1" max="1" width="7.7109375" customWidth="1"/>
    <col min="2" max="2" width="11.85546875" customWidth="1"/>
    <col min="3" max="3" width="9.5703125" style="32" customWidth="1"/>
    <col min="4" max="4" width="13" style="32" customWidth="1"/>
    <col min="5" max="5" width="12.28515625" style="32" customWidth="1"/>
    <col min="6" max="6" width="11.7109375" style="32" customWidth="1"/>
    <col min="7" max="7" width="12.28515625" style="32" customWidth="1"/>
    <col min="8" max="8" width="9.42578125" style="32" bestFit="1" customWidth="1"/>
    <col min="9" max="9" width="11.85546875" style="32" customWidth="1"/>
    <col min="10" max="10" width="8.7109375" style="32" customWidth="1"/>
    <col min="11" max="11" width="11.42578125" customWidth="1"/>
    <col min="12" max="12" width="12" bestFit="1" customWidth="1"/>
    <col min="13" max="13" width="11.42578125" customWidth="1"/>
    <col min="19" max="19" width="10" customWidth="1"/>
    <col min="27" max="27" width="10.42578125" customWidth="1"/>
    <col min="31" max="31" width="9.85546875" customWidth="1"/>
    <col min="32" max="32" width="12" bestFit="1" customWidth="1"/>
  </cols>
  <sheetData>
    <row r="1" spans="1:31" ht="26.25">
      <c r="B1" s="185" t="s">
        <v>325</v>
      </c>
    </row>
    <row r="2" spans="1:31">
      <c r="B2" s="186" t="s">
        <v>326</v>
      </c>
    </row>
    <row r="3" spans="1:31">
      <c r="B3" s="353" t="s">
        <v>721</v>
      </c>
    </row>
    <row r="4" spans="1:31">
      <c r="A4" s="186"/>
    </row>
    <row r="5" spans="1:31">
      <c r="A5" s="186"/>
      <c r="B5" s="354">
        <f>Drawing!L32</f>
        <v>1097.6851907010719</v>
      </c>
      <c r="C5" s="147" t="s">
        <v>327</v>
      </c>
      <c r="H5" s="355" t="s">
        <v>107</v>
      </c>
    </row>
    <row r="6" spans="1:31">
      <c r="A6" s="186"/>
      <c r="B6" s="354">
        <f>Drawing!L35</f>
        <v>93.458333333333329</v>
      </c>
      <c r="C6" s="147" t="s">
        <v>329</v>
      </c>
      <c r="K6" s="32"/>
    </row>
    <row r="7" spans="1:31">
      <c r="A7" s="186"/>
      <c r="B7" s="354">
        <f>Drawing!L34</f>
        <v>74.792607188727231</v>
      </c>
      <c r="C7" s="147" t="s">
        <v>330</v>
      </c>
    </row>
    <row r="8" spans="1:31">
      <c r="A8" s="186"/>
      <c r="B8" s="354">
        <v>1</v>
      </c>
      <c r="C8" s="147" t="s">
        <v>601</v>
      </c>
    </row>
    <row r="9" spans="1:31">
      <c r="A9" s="186"/>
      <c r="B9" s="2"/>
      <c r="C9" s="147" t="s">
        <v>722</v>
      </c>
    </row>
    <row r="10" spans="1:31">
      <c r="A10" s="186"/>
      <c r="B10" s="2"/>
      <c r="C10" s="147"/>
    </row>
    <row r="11" spans="1:31" ht="27.75" customHeight="1">
      <c r="A11" s="186"/>
      <c r="B11" s="356" t="s">
        <v>723</v>
      </c>
      <c r="C11" s="357"/>
      <c r="D11" s="358">
        <f>MIN(C84:BO84)</f>
        <v>0.999</v>
      </c>
    </row>
    <row r="12" spans="1:31">
      <c r="A12" s="186"/>
      <c r="B12" s="2"/>
      <c r="C12" s="147"/>
      <c r="K12" t="s">
        <v>12</v>
      </c>
      <c r="L12" s="359"/>
      <c r="M12" s="360" t="s">
        <v>724</v>
      </c>
      <c r="N12" s="359"/>
      <c r="O12" s="359"/>
      <c r="P12" s="359"/>
      <c r="Q12" s="359"/>
      <c r="R12" s="359"/>
      <c r="S12" s="359"/>
      <c r="T12" s="359"/>
      <c r="U12" s="359"/>
      <c r="V12" s="359"/>
      <c r="W12" s="361"/>
      <c r="X12" s="361"/>
      <c r="Y12" s="361"/>
      <c r="Z12" s="362"/>
      <c r="AA12" s="362"/>
      <c r="AB12" s="359"/>
      <c r="AC12" s="359"/>
      <c r="AD12" s="359"/>
      <c r="AE12" s="359"/>
    </row>
    <row r="13" spans="1:31" ht="45" customHeight="1">
      <c r="A13" s="187"/>
      <c r="B13" s="187"/>
      <c r="C13" s="188" t="s">
        <v>602</v>
      </c>
      <c r="D13" s="188" t="s">
        <v>331</v>
      </c>
      <c r="E13" s="188" t="s">
        <v>332</v>
      </c>
      <c r="F13" s="188" t="s">
        <v>333</v>
      </c>
      <c r="G13" s="188" t="s">
        <v>334</v>
      </c>
      <c r="H13" s="188" t="s">
        <v>335</v>
      </c>
      <c r="I13" s="188" t="s">
        <v>336</v>
      </c>
      <c r="J13" s="188" t="s">
        <v>337</v>
      </c>
      <c r="L13" s="359"/>
      <c r="M13" s="363" t="s">
        <v>725</v>
      </c>
      <c r="N13" s="363" t="s">
        <v>726</v>
      </c>
      <c r="O13" s="364" t="s">
        <v>52</v>
      </c>
      <c r="P13" s="364" t="s">
        <v>53</v>
      </c>
      <c r="Q13" s="365" t="s">
        <v>727</v>
      </c>
      <c r="R13" s="365" t="s">
        <v>728</v>
      </c>
      <c r="S13" s="363" t="s">
        <v>729</v>
      </c>
      <c r="T13" s="363" t="s">
        <v>730</v>
      </c>
      <c r="U13" s="363" t="s">
        <v>731</v>
      </c>
      <c r="V13" s="363" t="s">
        <v>59</v>
      </c>
      <c r="W13" s="363" t="s">
        <v>732</v>
      </c>
      <c r="X13" s="363" t="s">
        <v>733</v>
      </c>
      <c r="Y13" s="366" t="s">
        <v>734</v>
      </c>
      <c r="Z13" s="367" t="s">
        <v>735</v>
      </c>
      <c r="AA13" s="367" t="s">
        <v>736</v>
      </c>
      <c r="AB13" s="363" t="s">
        <v>737</v>
      </c>
      <c r="AC13" s="363" t="s">
        <v>738</v>
      </c>
      <c r="AD13" s="363" t="s">
        <v>739</v>
      </c>
      <c r="AE13" s="363" t="s">
        <v>740</v>
      </c>
    </row>
    <row r="14" spans="1:31">
      <c r="A14">
        <v>1</v>
      </c>
      <c r="B14" s="2" t="s">
        <v>4</v>
      </c>
      <c r="C14" s="152">
        <f t="shared" ref="C14:C25" si="0">IF($B$8=1,L66,K66)</f>
        <v>176.6092045757741</v>
      </c>
      <c r="D14" s="170">
        <f t="shared" ref="D14:D25" si="1">E14*$B$5</f>
        <v>13.166605799187108</v>
      </c>
      <c r="E14" s="368">
        <f>Drawing!B8</f>
        <v>1.1994883333333333E-2</v>
      </c>
      <c r="F14" s="32">
        <f t="shared" ref="F14:F25" si="2">E14*(C14-1)/(1+mL*(C14-1))</f>
        <v>1.1938836913197854E-2</v>
      </c>
      <c r="G14" s="153">
        <f t="shared" ref="G14:G25" si="3">I14*(1-mL)*$D$26</f>
        <v>7.4626484474749218E-5</v>
      </c>
      <c r="H14" s="11">
        <f>D14-G14</f>
        <v>13.166531172702634</v>
      </c>
      <c r="I14" s="153">
        <f t="shared" ref="I14:I25" si="4">E14/(1-mL+mL*C14)</f>
        <v>6.7985257048677828E-5</v>
      </c>
      <c r="J14" s="153">
        <f>I14*C14</f>
        <v>1.2006822170246531E-2</v>
      </c>
      <c r="L14" s="359" t="s">
        <v>4</v>
      </c>
      <c r="M14" s="369">
        <f>E14</f>
        <v>1.1994883333333333E-2</v>
      </c>
      <c r="N14" s="359"/>
      <c r="O14" s="359" t="s">
        <v>4</v>
      </c>
      <c r="P14" s="370">
        <v>28.013000000000002</v>
      </c>
      <c r="Q14" s="371">
        <v>-297.33199999999999</v>
      </c>
      <c r="R14" s="359"/>
      <c r="S14" s="371">
        <v>-346</v>
      </c>
      <c r="T14" s="371">
        <v>493</v>
      </c>
      <c r="U14" s="372">
        <v>-232.7</v>
      </c>
      <c r="V14" s="373">
        <v>0.99997000000000003</v>
      </c>
      <c r="W14" s="373">
        <v>0.80940000000000001</v>
      </c>
      <c r="X14" s="370">
        <f>W14*8.337</f>
        <v>6.7479677999999996</v>
      </c>
      <c r="Y14" s="370">
        <f t="shared" ref="Y14:Y16" si="5">P14/X14</f>
        <v>4.1513238993226977</v>
      </c>
      <c r="Z14" s="373">
        <f>$P14/28.97</f>
        <v>0.96696582671729381</v>
      </c>
      <c r="AA14" s="372">
        <f>13.102/Z14</f>
        <v>13.549599828650983</v>
      </c>
      <c r="AB14" s="374">
        <v>0.24840000000000001</v>
      </c>
      <c r="AC14" s="359"/>
      <c r="AD14" s="359"/>
      <c r="AE14" s="359"/>
    </row>
    <row r="15" spans="1:31">
      <c r="A15">
        <v>2</v>
      </c>
      <c r="B15" s="2" t="s">
        <v>70</v>
      </c>
      <c r="C15" s="152">
        <f t="shared" si="0"/>
        <v>15.297567220253301</v>
      </c>
      <c r="D15" s="170">
        <f t="shared" si="1"/>
        <v>61.008662334347328</v>
      </c>
      <c r="E15" s="368">
        <f>Drawing!B9</f>
        <v>5.5579379999999991E-2</v>
      </c>
      <c r="F15" s="32">
        <f t="shared" si="2"/>
        <v>5.1994758952139487E-2</v>
      </c>
      <c r="G15" s="153">
        <f t="shared" si="3"/>
        <v>3.9918633072669896E-3</v>
      </c>
      <c r="H15" s="11">
        <f>D15-G15</f>
        <v>61.004670471040058</v>
      </c>
      <c r="I15" s="153">
        <f t="shared" si="4"/>
        <v>3.6366158068126451E-3</v>
      </c>
      <c r="J15" s="153">
        <f>I15*C15</f>
        <v>5.5631374758952128E-2</v>
      </c>
      <c r="L15" s="359" t="s">
        <v>70</v>
      </c>
      <c r="M15" s="369">
        <f t="shared" ref="M15:M25" si="6">E15</f>
        <v>5.5579379999999991E-2</v>
      </c>
      <c r="N15" s="359"/>
      <c r="O15" s="359" t="s">
        <v>70</v>
      </c>
      <c r="P15" s="370">
        <v>44.01</v>
      </c>
      <c r="Q15" s="371">
        <v>-109.32</v>
      </c>
      <c r="R15" s="359"/>
      <c r="S15" s="371">
        <v>-69.77</v>
      </c>
      <c r="T15" s="371">
        <v>1071</v>
      </c>
      <c r="U15" s="372">
        <v>87.87</v>
      </c>
      <c r="V15" s="373">
        <v>0.99429999999999996</v>
      </c>
      <c r="W15" s="373">
        <v>0.81759999999999999</v>
      </c>
      <c r="X15" s="370">
        <f t="shared" ref="X15:X26" si="7">W15*8.337</f>
        <v>6.8163311999999996</v>
      </c>
      <c r="Y15" s="370">
        <f t="shared" si="5"/>
        <v>6.4565524632957976</v>
      </c>
      <c r="Z15" s="373">
        <f t="shared" ref="Z15:Z26" si="8">$P15/28.97</f>
        <v>1.5191577493959267</v>
      </c>
      <c r="AA15" s="372">
        <f t="shared" ref="AA15:AA25" si="9">13.102/Z15</f>
        <v>8.6245157918654858</v>
      </c>
      <c r="AB15" s="374">
        <v>0.19900000000000001</v>
      </c>
      <c r="AC15" s="359"/>
      <c r="AD15" s="359"/>
      <c r="AE15" s="359"/>
    </row>
    <row r="16" spans="1:31">
      <c r="A16">
        <v>3</v>
      </c>
      <c r="B16" s="32" t="s">
        <v>2</v>
      </c>
      <c r="C16" s="152">
        <f t="shared" si="0"/>
        <v>3.8369569428135692</v>
      </c>
      <c r="D16" s="170">
        <f t="shared" si="1"/>
        <v>1.0976851907010718E-3</v>
      </c>
      <c r="E16" s="368">
        <f>Drawing!B10</f>
        <v>9.9999999999999995E-7</v>
      </c>
      <c r="F16" s="32">
        <f t="shared" si="2"/>
        <v>7.3992388169074904E-7</v>
      </c>
      <c r="G16" s="153">
        <f t="shared" si="3"/>
        <v>2.8629419330416992E-7</v>
      </c>
      <c r="H16" s="11">
        <f>D16-G16</f>
        <v>1.0973988965077676E-3</v>
      </c>
      <c r="I16" s="153">
        <f t="shared" si="4"/>
        <v>2.6081604219094173E-7</v>
      </c>
      <c r="J16" s="153">
        <f>I16*C16</f>
        <v>1.0007399238816907E-6</v>
      </c>
      <c r="L16" s="359" t="s">
        <v>2</v>
      </c>
      <c r="M16" s="369">
        <f t="shared" si="6"/>
        <v>9.9999999999999995E-7</v>
      </c>
      <c r="N16" s="359"/>
      <c r="O16" s="359" t="s">
        <v>2</v>
      </c>
      <c r="P16" s="370">
        <v>34.076000000000001</v>
      </c>
      <c r="Q16" s="371">
        <v>-76.56</v>
      </c>
      <c r="R16" s="371">
        <v>387.1</v>
      </c>
      <c r="S16" s="371">
        <v>-121.58</v>
      </c>
      <c r="T16" s="371">
        <v>1036</v>
      </c>
      <c r="U16" s="372">
        <v>212.6</v>
      </c>
      <c r="V16" s="373">
        <v>0.99029999999999996</v>
      </c>
      <c r="W16" s="373">
        <v>0.78710000000000002</v>
      </c>
      <c r="X16" s="370">
        <f t="shared" si="7"/>
        <v>6.5620526999999997</v>
      </c>
      <c r="Y16" s="370">
        <f t="shared" si="5"/>
        <v>5.1928872805303747</v>
      </c>
      <c r="Z16" s="373">
        <f t="shared" si="8"/>
        <v>1.1762512944425267</v>
      </c>
      <c r="AA16" s="372">
        <f t="shared" si="9"/>
        <v>11.138776264819814</v>
      </c>
      <c r="AB16" s="374">
        <v>0.2379</v>
      </c>
      <c r="AC16" s="374">
        <v>0.49680000000000002</v>
      </c>
      <c r="AD16" s="359">
        <v>637</v>
      </c>
      <c r="AE16" s="359"/>
    </row>
    <row r="17" spans="1:31">
      <c r="A17">
        <v>4</v>
      </c>
      <c r="B17" s="2" t="s">
        <v>5</v>
      </c>
      <c r="C17" s="152">
        <f t="shared" si="0"/>
        <v>70.026795163818804</v>
      </c>
      <c r="D17" s="170">
        <f t="shared" si="1"/>
        <v>821.45733737475052</v>
      </c>
      <c r="E17" s="368">
        <f>Drawing!B11</f>
        <v>0.7483542133333333</v>
      </c>
      <c r="F17" s="32">
        <f t="shared" si="2"/>
        <v>0.73839538050338627</v>
      </c>
      <c r="G17" s="153">
        <f t="shared" si="3"/>
        <v>1.1742200730350167E-2</v>
      </c>
      <c r="H17" s="11">
        <f t="shared" ref="H17:H25" si="10">D17-G17</f>
        <v>821.44559517402013</v>
      </c>
      <c r="I17" s="153">
        <f t="shared" si="4"/>
        <v>1.0697228210450434E-2</v>
      </c>
      <c r="J17" s="153">
        <f t="shared" ref="J17:J25" si="11">I17*C17</f>
        <v>0.74909260871383654</v>
      </c>
      <c r="L17" s="359" t="s">
        <v>5</v>
      </c>
      <c r="M17" s="369">
        <f t="shared" si="6"/>
        <v>0.7483542133333333</v>
      </c>
      <c r="N17" s="359"/>
      <c r="O17" s="359" t="s">
        <v>73</v>
      </c>
      <c r="P17" s="370">
        <v>16.042999999999999</v>
      </c>
      <c r="Q17" s="371">
        <v>-258.7</v>
      </c>
      <c r="R17" s="371">
        <v>5000</v>
      </c>
      <c r="S17" s="371">
        <v>-296.5</v>
      </c>
      <c r="T17" s="371">
        <v>667.8</v>
      </c>
      <c r="U17" s="372">
        <v>-116.68</v>
      </c>
      <c r="V17" s="373">
        <v>0.99809999999999999</v>
      </c>
      <c r="W17" s="373">
        <v>0.3</v>
      </c>
      <c r="X17" s="370">
        <f t="shared" si="7"/>
        <v>2.5010999999999997</v>
      </c>
      <c r="Y17" s="370">
        <f>P17/X17</f>
        <v>6.4143776738235179</v>
      </c>
      <c r="Z17" s="373">
        <f t="shared" si="8"/>
        <v>0.55377977217811525</v>
      </c>
      <c r="AA17" s="372">
        <f t="shared" si="9"/>
        <v>23.659224583930687</v>
      </c>
      <c r="AB17" s="374">
        <v>0.52659999999999996</v>
      </c>
      <c r="AC17" s="374"/>
      <c r="AD17" s="359">
        <v>1009.7</v>
      </c>
      <c r="AE17" s="359">
        <f>9500*2.5</f>
        <v>23750</v>
      </c>
    </row>
    <row r="18" spans="1:31">
      <c r="A18">
        <v>5</v>
      </c>
      <c r="B18" s="2" t="s">
        <v>338</v>
      </c>
      <c r="C18" s="152">
        <f t="shared" si="0"/>
        <v>9.8094540489307995</v>
      </c>
      <c r="D18" s="170">
        <f t="shared" si="1"/>
        <v>113.78223058256009</v>
      </c>
      <c r="E18" s="368">
        <f>Drawing!B12</f>
        <v>0.10365652333333332</v>
      </c>
      <c r="F18" s="32">
        <f t="shared" si="2"/>
        <v>9.3173195939968659E-2</v>
      </c>
      <c r="G18" s="153">
        <f t="shared" si="3"/>
        <v>1.1609679675988928E-2</v>
      </c>
      <c r="H18" s="11">
        <f t="shared" si="10"/>
        <v>113.7706209028841</v>
      </c>
      <c r="I18" s="153">
        <f t="shared" si="4"/>
        <v>1.057650058930463E-2</v>
      </c>
      <c r="J18" s="153">
        <f t="shared" si="11"/>
        <v>0.10374969652927329</v>
      </c>
      <c r="L18" s="359" t="s">
        <v>338</v>
      </c>
      <c r="M18" s="369">
        <f t="shared" si="6"/>
        <v>0.10365652333333332</v>
      </c>
      <c r="N18" s="370">
        <f t="shared" ref="N18:N25" si="12">Y18*M18/0.3795</f>
        <v>2.8229137544124967</v>
      </c>
      <c r="O18" s="359" t="s">
        <v>75</v>
      </c>
      <c r="P18" s="370">
        <v>30.7</v>
      </c>
      <c r="Q18" s="371">
        <v>-127.44</v>
      </c>
      <c r="R18" s="371">
        <v>800</v>
      </c>
      <c r="S18" s="371">
        <v>-297.04000000000002</v>
      </c>
      <c r="T18" s="371">
        <v>707.8</v>
      </c>
      <c r="U18" s="372">
        <v>90.1</v>
      </c>
      <c r="V18" s="373">
        <v>0.99609999999999999</v>
      </c>
      <c r="W18" s="373">
        <v>0.35630000000000001</v>
      </c>
      <c r="X18" s="370">
        <f t="shared" si="7"/>
        <v>2.9704731</v>
      </c>
      <c r="Y18" s="370">
        <f t="shared" ref="Y18:Y25" si="13">P18/X18</f>
        <v>10.335054035668595</v>
      </c>
      <c r="Z18" s="373">
        <f t="shared" si="8"/>
        <v>1.0597169485674836</v>
      </c>
      <c r="AA18" s="372">
        <f t="shared" si="9"/>
        <v>12.363678827361564</v>
      </c>
      <c r="AB18" s="374">
        <v>0.40799999999999997</v>
      </c>
      <c r="AC18" s="374">
        <v>0.92559999999999998</v>
      </c>
      <c r="AD18" s="359">
        <v>1768</v>
      </c>
      <c r="AE18" s="359">
        <v>65889</v>
      </c>
    </row>
    <row r="19" spans="1:31">
      <c r="A19">
        <v>6</v>
      </c>
      <c r="B19" s="2" t="s">
        <v>7</v>
      </c>
      <c r="C19" s="152">
        <f t="shared" si="0"/>
        <v>2.3363135830450839</v>
      </c>
      <c r="D19" s="170">
        <f t="shared" si="1"/>
        <v>53.944641011813474</v>
      </c>
      <c r="E19" s="368">
        <f>Drawing!B13</f>
        <v>4.9144E-2</v>
      </c>
      <c r="F19" s="32">
        <f t="shared" si="2"/>
        <v>2.8125239411987031E-2</v>
      </c>
      <c r="G19" s="153">
        <f t="shared" si="3"/>
        <v>2.3102877985995546E-2</v>
      </c>
      <c r="H19" s="11">
        <f t="shared" si="10"/>
        <v>53.921538133827475</v>
      </c>
      <c r="I19" s="153">
        <f t="shared" si="4"/>
        <v>2.1046885827424953E-2</v>
      </c>
      <c r="J19" s="153">
        <f t="shared" si="11"/>
        <v>4.9172125239411987E-2</v>
      </c>
      <c r="L19" s="359" t="s">
        <v>7</v>
      </c>
      <c r="M19" s="369">
        <f t="shared" si="6"/>
        <v>4.9144E-2</v>
      </c>
      <c r="N19" s="370">
        <f t="shared" si="12"/>
        <v>1.3496523605588542</v>
      </c>
      <c r="O19" s="359" t="s">
        <v>77</v>
      </c>
      <c r="P19" s="370">
        <v>44.097000000000001</v>
      </c>
      <c r="Q19" s="371">
        <v>-43.73</v>
      </c>
      <c r="R19" s="371">
        <v>188</v>
      </c>
      <c r="S19" s="371">
        <v>-305.82</v>
      </c>
      <c r="T19" s="371">
        <v>616.29999999999995</v>
      </c>
      <c r="U19" s="372">
        <v>206.1</v>
      </c>
      <c r="V19" s="373">
        <v>0.98080000000000001</v>
      </c>
      <c r="W19" s="373">
        <v>0.50749999999999995</v>
      </c>
      <c r="X19" s="370">
        <f t="shared" si="7"/>
        <v>4.2310274999999997</v>
      </c>
      <c r="Y19" s="370">
        <f t="shared" si="13"/>
        <v>10.422291039233379</v>
      </c>
      <c r="Z19" s="373">
        <f t="shared" si="8"/>
        <v>1.5221608560579911</v>
      </c>
      <c r="AA19" s="372">
        <f t="shared" si="9"/>
        <v>8.6075002834659955</v>
      </c>
      <c r="AB19" s="374">
        <v>0.38869999999999999</v>
      </c>
      <c r="AC19" s="374">
        <v>0.59019999999999995</v>
      </c>
      <c r="AD19" s="359">
        <v>2517</v>
      </c>
      <c r="AE19" s="359">
        <v>90962</v>
      </c>
    </row>
    <row r="20" spans="1:31">
      <c r="A20">
        <v>7</v>
      </c>
      <c r="B20" s="2" t="s">
        <v>8</v>
      </c>
      <c r="C20" s="152">
        <f t="shared" si="0"/>
        <v>0.87787127127767339</v>
      </c>
      <c r="D20" s="170">
        <f t="shared" si="1"/>
        <v>7.1016316761179175</v>
      </c>
      <c r="E20" s="368">
        <f>Drawing!B14</f>
        <v>6.4696433333333329E-3</v>
      </c>
      <c r="F20" s="32">
        <f t="shared" si="2"/>
        <v>-8.9992625864968902E-4</v>
      </c>
      <c r="G20" s="153">
        <f t="shared" si="3"/>
        <v>8.088487655713435E-3</v>
      </c>
      <c r="H20" s="11">
        <f t="shared" si="10"/>
        <v>7.0935431884622044</v>
      </c>
      <c r="I20" s="153">
        <f t="shared" si="4"/>
        <v>7.3686696657243728E-3</v>
      </c>
      <c r="J20" s="153">
        <f t="shared" si="11"/>
        <v>6.4687434070746837E-3</v>
      </c>
      <c r="L20" s="359" t="s">
        <v>8</v>
      </c>
      <c r="M20" s="369">
        <f t="shared" si="6"/>
        <v>6.4696433333333329E-3</v>
      </c>
      <c r="N20" s="370">
        <f t="shared" si="12"/>
        <v>0.21110856638683789</v>
      </c>
      <c r="O20" s="359" t="s">
        <v>79</v>
      </c>
      <c r="P20" s="370">
        <v>58.124000000000002</v>
      </c>
      <c r="Q20" s="371">
        <v>10.74</v>
      </c>
      <c r="R20" s="371">
        <v>72.39</v>
      </c>
      <c r="S20" s="371">
        <v>-255.28</v>
      </c>
      <c r="T20" s="371">
        <v>529.1</v>
      </c>
      <c r="U20" s="372">
        <v>274.95999999999998</v>
      </c>
      <c r="V20" s="373">
        <v>0.96609999999999996</v>
      </c>
      <c r="W20" s="373">
        <v>0.56299999999999994</v>
      </c>
      <c r="X20" s="370">
        <f t="shared" si="7"/>
        <v>4.6937309999999997</v>
      </c>
      <c r="Y20" s="370">
        <f t="shared" si="13"/>
        <v>12.383325759401211</v>
      </c>
      <c r="Z20" s="373">
        <f t="shared" si="8"/>
        <v>2.0063513979979288</v>
      </c>
      <c r="AA20" s="372">
        <f t="shared" si="9"/>
        <v>6.5302618539673807</v>
      </c>
      <c r="AB20" s="374">
        <v>0.38669999999999999</v>
      </c>
      <c r="AC20" s="374">
        <v>0.56599999999999995</v>
      </c>
      <c r="AD20" s="359">
        <v>3252</v>
      </c>
      <c r="AE20" s="359">
        <v>98968</v>
      </c>
    </row>
    <row r="21" spans="1:31">
      <c r="A21">
        <v>8</v>
      </c>
      <c r="B21" s="2" t="s">
        <v>9</v>
      </c>
      <c r="C21" s="152">
        <f t="shared" si="0"/>
        <v>0.6211593139738989</v>
      </c>
      <c r="D21" s="170">
        <f t="shared" si="1"/>
        <v>15.675383597287585</v>
      </c>
      <c r="E21" s="368">
        <f>Drawing!B15</f>
        <v>1.4280399999999999E-2</v>
      </c>
      <c r="F21" s="32">
        <f t="shared" si="2"/>
        <v>-8.7042066398758996E-3</v>
      </c>
      <c r="G21" s="153">
        <f t="shared" si="3"/>
        <v>2.5220333064263772E-2</v>
      </c>
      <c r="H21" s="11">
        <f t="shared" si="10"/>
        <v>15.650163264223321</v>
      </c>
      <c r="I21" s="153">
        <f t="shared" si="4"/>
        <v>2.2975902433236023E-2</v>
      </c>
      <c r="J21" s="153">
        <f t="shared" si="11"/>
        <v>1.4271695793360122E-2</v>
      </c>
      <c r="L21" s="359" t="s">
        <v>9</v>
      </c>
      <c r="M21" s="369">
        <f t="shared" si="6"/>
        <v>1.4280399999999999E-2</v>
      </c>
      <c r="N21" s="370">
        <f t="shared" si="12"/>
        <v>0.44899178857429634</v>
      </c>
      <c r="O21" s="359" t="s">
        <v>79</v>
      </c>
      <c r="P21" s="370">
        <v>58.124000000000002</v>
      </c>
      <c r="Q21" s="371">
        <v>31.12</v>
      </c>
      <c r="R21" s="371">
        <v>51.54</v>
      </c>
      <c r="S21" s="371">
        <v>-217.05</v>
      </c>
      <c r="T21" s="371">
        <v>550.70000000000005</v>
      </c>
      <c r="U21" s="372">
        <v>305.62</v>
      </c>
      <c r="V21" s="373">
        <v>0.93669999999999998</v>
      </c>
      <c r="W21" s="373">
        <v>0.58430000000000004</v>
      </c>
      <c r="X21" s="370">
        <f t="shared" si="7"/>
        <v>4.8713091000000004</v>
      </c>
      <c r="Y21" s="370">
        <f t="shared" si="13"/>
        <v>11.931905532334213</v>
      </c>
      <c r="Z21" s="373">
        <f t="shared" si="8"/>
        <v>2.0063513979979288</v>
      </c>
      <c r="AA21" s="372">
        <f t="shared" si="9"/>
        <v>6.5302618539673807</v>
      </c>
      <c r="AB21" s="374">
        <v>0.39510000000000001</v>
      </c>
      <c r="AC21" s="374">
        <v>0.56599999999999995</v>
      </c>
      <c r="AD21" s="359">
        <v>3262</v>
      </c>
      <c r="AE21" s="359">
        <v>102918</v>
      </c>
    </row>
    <row r="22" spans="1:31">
      <c r="A22">
        <v>9</v>
      </c>
      <c r="B22" s="2" t="s">
        <v>124</v>
      </c>
      <c r="C22" s="152">
        <f t="shared" si="0"/>
        <v>0.24945520188516151</v>
      </c>
      <c r="D22" s="170">
        <f t="shared" si="1"/>
        <v>3.631684135533225</v>
      </c>
      <c r="E22" s="368">
        <f>Drawing!B16</f>
        <v>3.3084933333333336E-3</v>
      </c>
      <c r="F22" s="32">
        <f t="shared" si="2"/>
        <v>-9.9245220937082927E-3</v>
      </c>
      <c r="G22" s="153">
        <f t="shared" si="3"/>
        <v>1.4514805576446436E-2</v>
      </c>
      <c r="H22" s="11">
        <f t="shared" si="10"/>
        <v>3.6171693299567784</v>
      </c>
      <c r="I22" s="153">
        <f t="shared" si="4"/>
        <v>1.3223090904947917E-2</v>
      </c>
      <c r="J22" s="153">
        <f t="shared" si="11"/>
        <v>3.2985688112396258E-3</v>
      </c>
      <c r="L22" s="359" t="s">
        <v>124</v>
      </c>
      <c r="M22" s="369">
        <f t="shared" si="6"/>
        <v>3.3084933333333336E-3</v>
      </c>
      <c r="N22" s="370">
        <f t="shared" si="12"/>
        <v>0.12083371903709253</v>
      </c>
      <c r="O22" s="359" t="s">
        <v>82</v>
      </c>
      <c r="P22" s="370">
        <v>72.150999999999996</v>
      </c>
      <c r="Q22" s="371">
        <v>82.11</v>
      </c>
      <c r="R22" s="371">
        <v>20.443999999999999</v>
      </c>
      <c r="S22" s="371">
        <v>-255.82</v>
      </c>
      <c r="T22" s="371">
        <v>490.4</v>
      </c>
      <c r="U22" s="372">
        <v>369.03</v>
      </c>
      <c r="V22" s="373">
        <v>0.94799999999999995</v>
      </c>
      <c r="W22" s="373">
        <v>0.62439999999999996</v>
      </c>
      <c r="X22" s="370">
        <f t="shared" si="7"/>
        <v>5.2056227999999996</v>
      </c>
      <c r="Y22" s="370">
        <f t="shared" si="13"/>
        <v>13.860205161234502</v>
      </c>
      <c r="Z22" s="373">
        <f t="shared" si="8"/>
        <v>2.4905419399378665</v>
      </c>
      <c r="AA22" s="372">
        <f t="shared" si="9"/>
        <v>5.260702415766934</v>
      </c>
      <c r="AB22" s="374">
        <v>0.38290000000000002</v>
      </c>
      <c r="AC22" s="374">
        <v>0.5353</v>
      </c>
      <c r="AD22" s="359">
        <v>4000</v>
      </c>
      <c r="AE22" s="359">
        <v>108722</v>
      </c>
    </row>
    <row r="23" spans="1:31">
      <c r="A23">
        <v>10</v>
      </c>
      <c r="B23" s="2" t="s">
        <v>125</v>
      </c>
      <c r="C23" s="152">
        <f t="shared" si="0"/>
        <v>0.1866307163381844</v>
      </c>
      <c r="D23" s="170">
        <f t="shared" si="1"/>
        <v>3.7998604836005359</v>
      </c>
      <c r="E23" s="368">
        <f>Drawing!B17</f>
        <v>3.4617033333333332E-3</v>
      </c>
      <c r="F23" s="32">
        <f t="shared" si="2"/>
        <v>-1.5021243007706268E-2</v>
      </c>
      <c r="G23" s="153">
        <f t="shared" si="3"/>
        <v>2.0271988155054151E-2</v>
      </c>
      <c r="H23" s="11">
        <f t="shared" si="10"/>
        <v>3.7795884954454819</v>
      </c>
      <c r="I23" s="153">
        <f t="shared" si="4"/>
        <v>1.8467925098031895E-2</v>
      </c>
      <c r="J23" s="153">
        <f t="shared" si="11"/>
        <v>3.4466820903256267E-3</v>
      </c>
      <c r="L23" s="359" t="s">
        <v>125</v>
      </c>
      <c r="M23" s="369">
        <f t="shared" si="6"/>
        <v>3.4617033333333332E-3</v>
      </c>
      <c r="N23" s="370">
        <f t="shared" si="12"/>
        <v>0.12508707553319992</v>
      </c>
      <c r="O23" s="359" t="s">
        <v>82</v>
      </c>
      <c r="P23" s="370">
        <v>72.150999999999996</v>
      </c>
      <c r="Q23" s="371">
        <v>96.91</v>
      </c>
      <c r="R23" s="371">
        <v>15.574999999999999</v>
      </c>
      <c r="S23" s="371">
        <v>-201.51</v>
      </c>
      <c r="T23" s="371">
        <v>488.6</v>
      </c>
      <c r="U23" s="372">
        <v>385.6</v>
      </c>
      <c r="V23" s="373">
        <v>0.94199999999999995</v>
      </c>
      <c r="W23" s="373">
        <v>0.63109999999999999</v>
      </c>
      <c r="X23" s="370">
        <f t="shared" si="7"/>
        <v>5.2614806999999999</v>
      </c>
      <c r="Y23" s="370">
        <f t="shared" si="13"/>
        <v>13.713059899659044</v>
      </c>
      <c r="Z23" s="373">
        <f t="shared" si="8"/>
        <v>2.4905419399378665</v>
      </c>
      <c r="AA23" s="372">
        <f t="shared" si="9"/>
        <v>5.260702415766934</v>
      </c>
      <c r="AB23" s="374">
        <v>0.39900000000000002</v>
      </c>
      <c r="AC23" s="374">
        <v>0.54800000000000004</v>
      </c>
      <c r="AD23" s="359">
        <v>4008</v>
      </c>
      <c r="AE23" s="359">
        <v>110071</v>
      </c>
    </row>
    <row r="24" spans="1:31">
      <c r="A24">
        <v>11</v>
      </c>
      <c r="B24" s="2" t="s">
        <v>115</v>
      </c>
      <c r="C24" s="152">
        <f t="shared" si="0"/>
        <v>6.1955475612116583E-2</v>
      </c>
      <c r="D24" s="170">
        <f t="shared" si="1"/>
        <v>4.0818301964372248</v>
      </c>
      <c r="E24" s="368">
        <f>Drawing!B18+Drawing!B19+Drawing!B20</f>
        <v>3.7185800000000303E-3</v>
      </c>
      <c r="F24" s="32">
        <f t="shared" si="2"/>
        <v>-5.5461891780385825E-2</v>
      </c>
      <c r="G24" s="153">
        <f t="shared" si="3"/>
        <v>6.4900712655424395E-2</v>
      </c>
      <c r="H24" s="11">
        <f t="shared" si="10"/>
        <v>4.0169294837818006</v>
      </c>
      <c r="I24" s="153">
        <f t="shared" si="4"/>
        <v>5.9125009888605411E-2</v>
      </c>
      <c r="J24" s="153">
        <f t="shared" si="11"/>
        <v>3.6631181082196441E-3</v>
      </c>
      <c r="L24" s="359" t="s">
        <v>115</v>
      </c>
      <c r="M24" s="369">
        <f t="shared" si="6"/>
        <v>3.7185800000000303E-3</v>
      </c>
      <c r="N24" s="370">
        <f t="shared" si="12"/>
        <v>0.15254004807245383</v>
      </c>
      <c r="O24" s="359" t="s">
        <v>85</v>
      </c>
      <c r="P24" s="370">
        <v>86.177999999999997</v>
      </c>
      <c r="Q24" s="371">
        <v>155.72999999999999</v>
      </c>
      <c r="R24" s="371">
        <v>4.96</v>
      </c>
      <c r="S24" s="371">
        <v>-139.58000000000001</v>
      </c>
      <c r="T24" s="371">
        <v>710.4</v>
      </c>
      <c r="U24" s="372">
        <v>453.6</v>
      </c>
      <c r="V24" s="373">
        <v>0.91</v>
      </c>
      <c r="W24" s="373">
        <v>0.66400000000000003</v>
      </c>
      <c r="X24" s="370">
        <f t="shared" si="7"/>
        <v>5.535768</v>
      </c>
      <c r="Y24" s="370">
        <f t="shared" si="13"/>
        <v>15.567487654829465</v>
      </c>
      <c r="Z24" s="373">
        <f t="shared" si="8"/>
        <v>2.9747324818778047</v>
      </c>
      <c r="AA24" s="372">
        <f t="shared" si="9"/>
        <v>4.4044296688249904</v>
      </c>
      <c r="AB24" s="374">
        <v>0.38569999999999999</v>
      </c>
      <c r="AC24" s="374">
        <v>0.53320000000000001</v>
      </c>
      <c r="AD24" s="359">
        <v>4756</v>
      </c>
      <c r="AE24" s="359">
        <v>115055</v>
      </c>
    </row>
    <row r="25" spans="1:31" ht="15.75" thickBot="1">
      <c r="A25">
        <v>12</v>
      </c>
      <c r="B25" s="2" t="s">
        <v>339</v>
      </c>
      <c r="C25" s="152">
        <f t="shared" si="0"/>
        <v>8.1489669409547344E-4</v>
      </c>
      <c r="D25" s="170">
        <f t="shared" si="1"/>
        <v>3.5323509436760485E-2</v>
      </c>
      <c r="E25" s="368">
        <f>Drawing!B21+Drawing!B22</f>
        <v>3.2179999999999993E-5</v>
      </c>
      <c r="F25" s="32">
        <f t="shared" si="2"/>
        <v>-1.7724546197664944E-2</v>
      </c>
      <c r="G25" s="153">
        <f t="shared" si="3"/>
        <v>1.9471858882477038E-2</v>
      </c>
      <c r="H25" s="11">
        <f t="shared" si="10"/>
        <v>1.5851650554283447E-2</v>
      </c>
      <c r="I25" s="153">
        <f t="shared" si="4"/>
        <v>1.7739001651467391E-2</v>
      </c>
      <c r="J25" s="153">
        <f t="shared" si="11"/>
        <v>1.4455453802334921E-5</v>
      </c>
      <c r="L25" s="359" t="s">
        <v>339</v>
      </c>
      <c r="M25" s="369">
        <f t="shared" si="6"/>
        <v>3.2179999999999993E-5</v>
      </c>
      <c r="N25" s="370">
        <f t="shared" si="12"/>
        <v>1.5317799432024372E-3</v>
      </c>
      <c r="O25" s="359" t="s">
        <v>741</v>
      </c>
      <c r="P25" s="370">
        <v>100</v>
      </c>
      <c r="Q25" s="371">
        <v>155.72999999999999</v>
      </c>
      <c r="R25" s="371">
        <v>4.96</v>
      </c>
      <c r="S25" s="371">
        <v>-139.58000000000001</v>
      </c>
      <c r="T25" s="371">
        <v>710.4</v>
      </c>
      <c r="U25" s="372">
        <v>453.6</v>
      </c>
      <c r="V25" s="373">
        <v>0.91</v>
      </c>
      <c r="W25" s="373">
        <v>0.66400000000000003</v>
      </c>
      <c r="X25" s="370">
        <f t="shared" si="7"/>
        <v>5.535768</v>
      </c>
      <c r="Y25" s="370">
        <f t="shared" si="13"/>
        <v>18.064340846653977</v>
      </c>
      <c r="Z25" s="373">
        <f t="shared" si="8"/>
        <v>3.4518467380048325</v>
      </c>
      <c r="AA25" s="372">
        <f t="shared" si="9"/>
        <v>3.7956494000000003</v>
      </c>
      <c r="AB25" s="374">
        <v>0.38569999999999999</v>
      </c>
      <c r="AC25" s="374">
        <v>0.53320000000000001</v>
      </c>
      <c r="AD25" s="359">
        <v>4756</v>
      </c>
      <c r="AE25" s="359">
        <v>115055</v>
      </c>
    </row>
    <row r="26" spans="1:31" ht="15.75" thickBot="1">
      <c r="B26" s="189" t="s">
        <v>340</v>
      </c>
      <c r="C26" s="211"/>
      <c r="D26" s="201">
        <f t="shared" ref="D26:J26" si="14">SUM(D14:D25)</f>
        <v>1097.6862883862625</v>
      </c>
      <c r="E26" s="231">
        <f>SUM(E14:E25)</f>
        <v>1.0000009999999999</v>
      </c>
      <c r="F26" s="211">
        <f t="shared" si="14"/>
        <v>0.8158918156665701</v>
      </c>
      <c r="G26" s="190">
        <f t="shared" si="14"/>
        <v>0.2029897204676489</v>
      </c>
      <c r="H26" s="202">
        <f t="shared" si="14"/>
        <v>1097.4832986657948</v>
      </c>
      <c r="I26" s="190">
        <f t="shared" si="14"/>
        <v>0.18492507614909653</v>
      </c>
      <c r="J26" s="191">
        <f t="shared" si="14"/>
        <v>1.0008168918156664</v>
      </c>
      <c r="L26" s="359" t="s">
        <v>132</v>
      </c>
      <c r="M26" s="374">
        <f>SUM(M14:M25)</f>
        <v>1.0000009999999999</v>
      </c>
      <c r="N26" s="370">
        <f>SUM(N18:N25)</f>
        <v>5.2326590925184338</v>
      </c>
      <c r="O26" s="359"/>
      <c r="P26" s="370">
        <f t="shared" ref="P26:W26" si="15">P14*$M14+P15*$M15+P16*$M16+P17*$M17+P18*$M18+P19*$M19+P20*$M20+P21*$M21+P22*$M22+P23*$M23+P24*$M24+P25*$M25</f>
        <v>22.1555299011</v>
      </c>
      <c r="Q26" s="371">
        <f t="shared" si="15"/>
        <v>-216.89563654596665</v>
      </c>
      <c r="R26" s="371">
        <f t="shared" si="15"/>
        <v>3835.2802523669561</v>
      </c>
      <c r="S26" s="371">
        <f t="shared" si="15"/>
        <v>-282.55310963436671</v>
      </c>
      <c r="T26" s="371">
        <f t="shared" si="15"/>
        <v>686.11222539366645</v>
      </c>
      <c r="U26" s="372">
        <f t="shared" si="15"/>
        <v>-55.356795275399996</v>
      </c>
      <c r="V26" s="373">
        <f t="shared" si="15"/>
        <v>0.99508047066550009</v>
      </c>
      <c r="W26" s="374">
        <f t="shared" si="15"/>
        <v>0.36025826578933323</v>
      </c>
      <c r="X26" s="370">
        <f t="shared" si="7"/>
        <v>3.0034731618856711</v>
      </c>
      <c r="Y26" s="374">
        <f>Y14*$M14+Y15*$M15+Y16*$M16+Y17*$M17+Y18*$M18+Y19*$M19+Y20*$M20+Y21*$M21+Y22*$M22+Y23*$M23+Y24*$M24+Y25*$M25</f>
        <v>7.1946717053138283</v>
      </c>
      <c r="Z26" s="373">
        <f t="shared" si="8"/>
        <v>0.76477493617880565</v>
      </c>
      <c r="AA26" s="372">
        <f>AA14*$M14+AA15*$M15+AA16*$M16+AA17*$M17+AA18*$M18+AA19*$M19+AA20*$M20+AA21*$M21+AA22*$M22+AA23*$M23+AA24*$M24+AA25*$M25</f>
        <v>20.23956518129836</v>
      </c>
      <c r="AB26" s="374">
        <f>AB14*$M14+AB15*$M15+AB16*$M16+AB17*$M17+AB18*$M18+AB19*$M19+AB20*$M20+AB21*$M21+AB22*$M22+AB23*$M23+AB24*$M24+AB25*$M25</f>
        <v>0.4817562335776665</v>
      </c>
      <c r="AC26" s="374">
        <f>AC14*$M14+AC15*$M15+AC16*$M16+AC17*$M17+AC18*$M18+AC19*$M19+AC20*$M20+AC21*$M21+AC22*$M22+AC23*$M23+AC24*$M24+AC25*$M25</f>
        <v>0.14236224326400002</v>
      </c>
      <c r="AD26" s="371">
        <f>AD14*$M14+AD15*$M15+AD16*$M16+AD17*$M17+AD18*$M18+AD19*$M19+AD20*$M20+AD21*$M21+AD22*$M22+AD23*$M23+AD24*$M24+AD25*$M25</f>
        <v>1175.1431072293333</v>
      </c>
      <c r="AE26" s="371">
        <f>AE14*$M14+AE15*$M15+AE16*$M16+AE17*$M17+AE18*$M18+AE19*$M19+AE20*$M20+AE21*$M21+AE22*$M22+AE23*$M23+AE24*$M24+AE25*$M25</f>
        <v>32355.754480779997</v>
      </c>
    </row>
    <row r="27" spans="1:31">
      <c r="B27" s="23"/>
      <c r="D27" s="170"/>
      <c r="E27" s="230"/>
      <c r="G27" s="153"/>
      <c r="H27" s="11"/>
      <c r="I27" s="153"/>
      <c r="J27" s="153"/>
      <c r="L27" s="2"/>
      <c r="M27" s="375"/>
      <c r="N27" s="376"/>
      <c r="O27" s="32"/>
      <c r="P27" s="11"/>
      <c r="Q27" s="11"/>
      <c r="R27" s="11"/>
      <c r="S27" s="11"/>
      <c r="T27" s="11"/>
      <c r="U27" s="11"/>
      <c r="V27" s="16"/>
      <c r="W27" s="11"/>
      <c r="X27" s="11"/>
      <c r="Y27" s="11"/>
      <c r="Z27" s="104"/>
      <c r="AA27" s="16"/>
      <c r="AB27" s="11"/>
      <c r="AC27" s="11"/>
      <c r="AD27" s="59"/>
      <c r="AE27" s="59"/>
    </row>
    <row r="28" spans="1:31" ht="15.75">
      <c r="B28" s="377" t="s">
        <v>742</v>
      </c>
    </row>
    <row r="29" spans="1:31" ht="15" customHeight="1">
      <c r="L29" s="2"/>
      <c r="M29" s="2"/>
      <c r="N29" s="11"/>
      <c r="O29" s="2"/>
      <c r="P29" s="11"/>
      <c r="Q29" s="11"/>
      <c r="R29" s="11"/>
      <c r="S29" s="11"/>
      <c r="T29" s="11"/>
      <c r="U29" s="11"/>
      <c r="V29" s="11"/>
      <c r="W29" s="11"/>
      <c r="X29" s="11"/>
      <c r="Y29" s="11"/>
      <c r="Z29" s="11"/>
      <c r="AA29" s="16" t="s">
        <v>743</v>
      </c>
      <c r="AB29" s="11"/>
      <c r="AC29" s="11"/>
      <c r="AD29" s="11"/>
      <c r="AE29" s="11"/>
    </row>
    <row r="30" spans="1:31">
      <c r="K30" s="32"/>
      <c r="L30" s="32"/>
      <c r="M30" s="32"/>
      <c r="N30" s="2"/>
      <c r="O30" s="2"/>
      <c r="P30" s="2"/>
      <c r="Q30" s="2"/>
      <c r="R30" s="2"/>
      <c r="S30" s="2"/>
      <c r="T30" s="2"/>
      <c r="U30" s="2"/>
      <c r="V30" s="2"/>
      <c r="W30" s="2"/>
      <c r="X30" s="2"/>
      <c r="Y30" s="11"/>
      <c r="Z30" s="16"/>
      <c r="AA30" s="16"/>
      <c r="AB30" s="2"/>
      <c r="AC30" s="2"/>
      <c r="AD30" s="2"/>
      <c r="AE30" s="2"/>
    </row>
    <row r="31" spans="1:31">
      <c r="B31" s="217" t="s">
        <v>341</v>
      </c>
    </row>
    <row r="34" spans="1:15" s="32" customFormat="1" ht="16.5">
      <c r="A34" s="192"/>
      <c r="B34"/>
      <c r="D34" s="193" t="s">
        <v>342</v>
      </c>
      <c r="K34"/>
      <c r="L34"/>
      <c r="M34"/>
      <c r="N34"/>
      <c r="O34"/>
    </row>
    <row r="35" spans="1:15" s="32" customFormat="1">
      <c r="A35" s="192"/>
      <c r="B35"/>
      <c r="D35" s="194" t="s">
        <v>343</v>
      </c>
      <c r="K35"/>
      <c r="L35"/>
      <c r="M35"/>
      <c r="N35"/>
      <c r="O35"/>
    </row>
    <row r="37" spans="1:15" s="32" customFormat="1">
      <c r="A37"/>
      <c r="B37"/>
      <c r="D37" s="147" t="s">
        <v>344</v>
      </c>
      <c r="F37" s="32" t="s">
        <v>345</v>
      </c>
      <c r="K37"/>
      <c r="L37"/>
      <c r="M37"/>
      <c r="N37"/>
      <c r="O37"/>
    </row>
    <row r="38" spans="1:15" s="32" customFormat="1">
      <c r="A38"/>
      <c r="B38"/>
      <c r="D38" s="147" t="s">
        <v>346</v>
      </c>
      <c r="K38"/>
      <c r="L38"/>
      <c r="M38"/>
      <c r="N38"/>
      <c r="O38"/>
    </row>
    <row r="41" spans="1:15" ht="21">
      <c r="D41" s="101" t="s">
        <v>412</v>
      </c>
      <c r="E41"/>
      <c r="F41"/>
      <c r="G41"/>
      <c r="H41"/>
      <c r="I41"/>
      <c r="J41"/>
    </row>
    <row r="42" spans="1:15">
      <c r="D42"/>
      <c r="E42" t="s">
        <v>347</v>
      </c>
      <c r="F42"/>
      <c r="G42"/>
      <c r="H42"/>
      <c r="I42"/>
      <c r="J42"/>
    </row>
    <row r="43" spans="1:15">
      <c r="D43"/>
      <c r="E43"/>
      <c r="F43"/>
      <c r="G43"/>
      <c r="H43"/>
      <c r="I43"/>
      <c r="J43"/>
    </row>
    <row r="44" spans="1:15">
      <c r="C44" s="378"/>
      <c r="D44" s="379" t="s">
        <v>348</v>
      </c>
      <c r="E44" s="380"/>
      <c r="F44" s="380"/>
      <c r="G44" s="380"/>
      <c r="H44" s="380"/>
      <c r="I44" s="380"/>
      <c r="J44"/>
      <c r="K44" s="379" t="s">
        <v>349</v>
      </c>
      <c r="L44" s="380"/>
      <c r="M44" s="380"/>
      <c r="N44" s="380"/>
      <c r="O44" s="380"/>
    </row>
    <row r="45" spans="1:15">
      <c r="C45" s="378"/>
      <c r="D45" s="380"/>
      <c r="E45" s="380"/>
      <c r="F45" s="380"/>
      <c r="G45" s="380"/>
      <c r="H45" s="380"/>
      <c r="I45" s="380"/>
      <c r="J45"/>
      <c r="K45" s="380"/>
      <c r="L45" s="380"/>
      <c r="M45" s="380"/>
      <c r="N45" s="380"/>
      <c r="O45" s="380"/>
    </row>
    <row r="46" spans="1:15" ht="18">
      <c r="C46" s="378"/>
      <c r="D46" s="381" t="s">
        <v>350</v>
      </c>
      <c r="E46" s="380"/>
      <c r="F46" s="380"/>
      <c r="G46" s="380"/>
      <c r="H46" s="380"/>
      <c r="I46" s="380"/>
      <c r="J46"/>
      <c r="K46" s="381" t="s">
        <v>351</v>
      </c>
      <c r="L46" s="380"/>
      <c r="M46" s="380"/>
      <c r="N46" s="380"/>
      <c r="O46" s="380"/>
    </row>
    <row r="47" spans="1:15">
      <c r="C47" s="378"/>
      <c r="D47" s="381"/>
      <c r="E47" s="380"/>
      <c r="F47" s="380"/>
      <c r="G47" s="380"/>
      <c r="H47" s="380"/>
      <c r="I47" s="380"/>
      <c r="J47"/>
      <c r="K47" s="381"/>
      <c r="L47" s="380"/>
      <c r="M47" s="380"/>
      <c r="N47" s="380"/>
      <c r="O47" s="380"/>
    </row>
    <row r="48" spans="1:15" ht="18">
      <c r="C48" s="378"/>
      <c r="D48" s="381" t="s">
        <v>352</v>
      </c>
      <c r="E48" s="380"/>
      <c r="F48" s="380"/>
      <c r="G48" s="380"/>
      <c r="H48" s="380"/>
      <c r="I48" s="380"/>
      <c r="J48"/>
      <c r="K48" s="381" t="s">
        <v>353</v>
      </c>
      <c r="L48" s="380"/>
      <c r="M48" s="380"/>
      <c r="N48" s="380"/>
      <c r="O48" s="380"/>
    </row>
    <row r="49" spans="3:15">
      <c r="C49" s="382">
        <f>B6+460</f>
        <v>553.45833333333337</v>
      </c>
      <c r="D49" s="381" t="s">
        <v>354</v>
      </c>
      <c r="E49" s="380"/>
      <c r="F49" s="380"/>
      <c r="G49" s="380"/>
      <c r="H49" s="380"/>
      <c r="I49" s="380"/>
      <c r="J49"/>
      <c r="K49" s="381" t="s">
        <v>354</v>
      </c>
      <c r="L49" s="380"/>
      <c r="M49" s="380"/>
      <c r="N49" s="380"/>
      <c r="O49" s="380"/>
    </row>
    <row r="50" spans="3:15" ht="18">
      <c r="C50" s="378"/>
      <c r="D50" s="381" t="s">
        <v>355</v>
      </c>
      <c r="E50" s="380"/>
      <c r="F50" s="380"/>
      <c r="G50" s="380"/>
      <c r="H50" s="380"/>
      <c r="I50" s="380"/>
      <c r="J50"/>
      <c r="K50" s="381" t="s">
        <v>355</v>
      </c>
      <c r="L50" s="380"/>
      <c r="M50" s="380"/>
      <c r="N50" s="380"/>
      <c r="O50" s="380"/>
    </row>
    <row r="51" spans="3:15">
      <c r="C51" s="382">
        <f>B7</f>
        <v>74.792607188727231</v>
      </c>
      <c r="D51" s="381" t="s">
        <v>356</v>
      </c>
      <c r="E51" s="380"/>
      <c r="F51" s="380"/>
      <c r="G51" s="380"/>
      <c r="H51" s="380"/>
      <c r="I51" s="380"/>
      <c r="J51"/>
      <c r="K51" s="381" t="s">
        <v>357</v>
      </c>
      <c r="L51" s="380"/>
      <c r="M51" s="380"/>
      <c r="N51" s="380"/>
      <c r="O51" s="380"/>
    </row>
    <row r="52" spans="3:15" ht="18">
      <c r="C52" s="378"/>
      <c r="D52" s="381" t="s">
        <v>358</v>
      </c>
      <c r="E52" s="380"/>
      <c r="F52" s="380"/>
      <c r="G52" s="380"/>
      <c r="H52" s="380"/>
      <c r="I52" s="380"/>
      <c r="J52"/>
      <c r="K52" s="381" t="s">
        <v>358</v>
      </c>
      <c r="L52" s="380"/>
      <c r="M52" s="380"/>
      <c r="N52" s="380"/>
      <c r="O52" s="380"/>
    </row>
    <row r="53" spans="3:15" ht="18">
      <c r="C53" s="378"/>
      <c r="D53" s="381" t="s">
        <v>359</v>
      </c>
      <c r="E53" s="380"/>
      <c r="F53" s="380"/>
      <c r="G53" s="380"/>
      <c r="H53" s="380"/>
      <c r="I53" s="380"/>
      <c r="J53"/>
    </row>
    <row r="54" spans="3:15">
      <c r="C54" s="378"/>
      <c r="D54" s="381" t="s">
        <v>360</v>
      </c>
      <c r="E54" s="380"/>
      <c r="F54" s="380"/>
      <c r="G54" s="380"/>
      <c r="H54" s="380"/>
      <c r="I54" s="380"/>
      <c r="J54"/>
    </row>
    <row r="55" spans="3:15">
      <c r="C55" s="378"/>
      <c r="D55" s="381"/>
      <c r="E55" s="380"/>
      <c r="F55" s="380"/>
      <c r="G55" s="380"/>
      <c r="H55" s="380"/>
      <c r="I55" s="380"/>
      <c r="J55"/>
    </row>
    <row r="56" spans="3:15">
      <c r="C56" s="378">
        <f>1.2+0.00045*C51+(15*(10^-8))*C51^2</f>
        <v>1.2344957633484404</v>
      </c>
      <c r="D56" s="381" t="s">
        <v>405</v>
      </c>
      <c r="E56" s="380"/>
      <c r="F56" s="380"/>
      <c r="G56" s="380"/>
      <c r="H56" s="380"/>
      <c r="I56" s="380"/>
      <c r="J56"/>
    </row>
    <row r="57" spans="3:15">
      <c r="C57" s="378">
        <f>0.89-0.00017*C51-3.5*(10^-8)*C51^2</f>
        <v>0.87708946908476326</v>
      </c>
      <c r="D57" s="381" t="s">
        <v>406</v>
      </c>
      <c r="E57" s="380"/>
      <c r="F57" s="380"/>
      <c r="G57" s="380"/>
      <c r="H57" s="380"/>
      <c r="I57" s="380"/>
      <c r="J57"/>
    </row>
    <row r="58" spans="3:15">
      <c r="C58" s="378">
        <f>7.3+0.0075*(C49-460)+0.0016*C51</f>
        <v>8.1206056715019628</v>
      </c>
      <c r="D58" s="381" t="s">
        <v>597</v>
      </c>
      <c r="E58" s="380"/>
      <c r="F58" s="380"/>
      <c r="G58" s="380"/>
      <c r="H58" s="380"/>
      <c r="I58" s="380"/>
      <c r="J58"/>
    </row>
    <row r="59" spans="3:15">
      <c r="C59" s="378">
        <f>1013+324*C58-4.256*C58^2</f>
        <v>3363.417567141677</v>
      </c>
      <c r="D59" s="381" t="s">
        <v>598</v>
      </c>
      <c r="E59" s="380"/>
      <c r="F59" s="380"/>
      <c r="G59" s="380"/>
      <c r="H59" s="380"/>
      <c r="I59" s="380"/>
      <c r="J59"/>
    </row>
    <row r="60" spans="3:15" ht="18">
      <c r="C60" s="378">
        <f>301+59.85*C58-0.971*C58^2</f>
        <v>722.98639582505155</v>
      </c>
      <c r="D60" s="381" t="s">
        <v>599</v>
      </c>
      <c r="E60" s="380"/>
      <c r="F60" s="380"/>
      <c r="G60" s="380"/>
      <c r="H60" s="380"/>
      <c r="I60" s="380"/>
      <c r="J60"/>
    </row>
    <row r="61" spans="3:15">
      <c r="D61"/>
      <c r="E61"/>
      <c r="F61"/>
      <c r="G61"/>
      <c r="H61"/>
      <c r="I61"/>
      <c r="J61"/>
    </row>
    <row r="62" spans="3:15">
      <c r="D62"/>
      <c r="E62" t="s">
        <v>361</v>
      </c>
      <c r="F62"/>
      <c r="G62"/>
      <c r="H62"/>
      <c r="I62"/>
      <c r="J62"/>
    </row>
    <row r="63" spans="3:15">
      <c r="D63"/>
      <c r="E63"/>
      <c r="F63"/>
      <c r="G63"/>
      <c r="H63"/>
      <c r="I63"/>
      <c r="J63"/>
    </row>
    <row r="64" spans="3:15">
      <c r="D64" s="383"/>
      <c r="E64" s="383"/>
      <c r="F64" s="383"/>
      <c r="G64" s="383"/>
      <c r="H64" s="383"/>
      <c r="I64" s="383"/>
      <c r="J64" s="383"/>
      <c r="K64" s="364" t="s">
        <v>362</v>
      </c>
      <c r="L64" s="364" t="s">
        <v>363</v>
      </c>
    </row>
    <row r="65" spans="4:12" ht="18">
      <c r="D65" s="384" t="s">
        <v>241</v>
      </c>
      <c r="E65" s="384" t="s">
        <v>408</v>
      </c>
      <c r="F65" s="384" t="s">
        <v>409</v>
      </c>
      <c r="G65" s="384" t="s">
        <v>364</v>
      </c>
      <c r="H65" s="384" t="s">
        <v>365</v>
      </c>
      <c r="I65" s="384" t="s">
        <v>366</v>
      </c>
      <c r="J65" s="384" t="s">
        <v>367</v>
      </c>
      <c r="K65" s="384" t="s">
        <v>368</v>
      </c>
      <c r="L65" s="384" t="s">
        <v>368</v>
      </c>
    </row>
    <row r="66" spans="4:12">
      <c r="D66" s="359" t="s">
        <v>4</v>
      </c>
      <c r="E66" s="372">
        <f>C184</f>
        <v>493</v>
      </c>
      <c r="F66" s="372">
        <f>D184</f>
        <v>227.6</v>
      </c>
      <c r="G66" s="374">
        <f>E184</f>
        <v>0.04</v>
      </c>
      <c r="H66" s="359">
        <f t="shared" ref="H66:I76" si="16">C121</f>
        <v>470</v>
      </c>
      <c r="I66" s="370">
        <f t="shared" si="16"/>
        <v>109</v>
      </c>
      <c r="J66" s="374">
        <f>H66*(1/I66-1/($C$49))</f>
        <v>3.4627208537918719</v>
      </c>
      <c r="K66" s="374">
        <f>(1/C51)*10^(C56+C57*J66)</f>
        <v>249.89242185358503</v>
      </c>
      <c r="L66" s="374">
        <f>E66/$C$51*EXP(5.37*(1+G66)*(1-F66/$C$49))</f>
        <v>176.6092045757741</v>
      </c>
    </row>
    <row r="67" spans="4:12">
      <c r="D67" s="359" t="s">
        <v>70</v>
      </c>
      <c r="E67" s="372">
        <f>C183</f>
        <v>1071</v>
      </c>
      <c r="F67" s="372">
        <f>D183</f>
        <v>547.9</v>
      </c>
      <c r="G67" s="374">
        <f>E183</f>
        <v>0.22500000000000001</v>
      </c>
      <c r="H67" s="359">
        <f t="shared" si="16"/>
        <v>652</v>
      </c>
      <c r="I67" s="370">
        <f t="shared" si="16"/>
        <v>194</v>
      </c>
      <c r="J67" s="374">
        <f t="shared" ref="J67:J77" si="17">H67*(1/I67-1/($C$49))</f>
        <v>2.1827776143601891</v>
      </c>
      <c r="K67" s="374">
        <f t="shared" ref="K67:K77" si="18">1/$C$51*10^($C$56+$C$57*J67)</f>
        <v>18.842058582416172</v>
      </c>
      <c r="L67" s="374">
        <f t="shared" ref="L67:L77" si="19">E67/$C$51*EXP(5.37*(1+G67)*(1-F67/$C$49))</f>
        <v>15.297567220253301</v>
      </c>
    </row>
    <row r="68" spans="4:12">
      <c r="D68" s="359" t="s">
        <v>2</v>
      </c>
      <c r="E68" s="372">
        <v>1036</v>
      </c>
      <c r="F68" s="372">
        <v>672.6</v>
      </c>
      <c r="G68" s="374">
        <v>0.1105</v>
      </c>
      <c r="H68" s="359">
        <f t="shared" si="16"/>
        <v>1136</v>
      </c>
      <c r="I68" s="370">
        <f t="shared" si="16"/>
        <v>331</v>
      </c>
      <c r="J68" s="374">
        <f t="shared" si="17"/>
        <v>1.3794757990871735</v>
      </c>
      <c r="K68" s="374">
        <f t="shared" si="18"/>
        <v>3.7201528752742883</v>
      </c>
      <c r="L68" s="374">
        <f t="shared" si="19"/>
        <v>3.8369569428135692</v>
      </c>
    </row>
    <row r="69" spans="4:12">
      <c r="D69" s="359" t="s">
        <v>5</v>
      </c>
      <c r="E69" s="372">
        <f t="shared" ref="E69:G77" si="20">C185</f>
        <v>667.8</v>
      </c>
      <c r="F69" s="372">
        <f t="shared" si="20"/>
        <v>343.37</v>
      </c>
      <c r="G69" s="374">
        <f t="shared" si="20"/>
        <v>1.04E-2</v>
      </c>
      <c r="H69" s="359">
        <f t="shared" si="16"/>
        <v>300</v>
      </c>
      <c r="I69" s="370">
        <f t="shared" si="16"/>
        <v>94</v>
      </c>
      <c r="J69" s="374">
        <f t="shared" si="17"/>
        <v>2.6494431372046496</v>
      </c>
      <c r="K69" s="374">
        <f t="shared" si="18"/>
        <v>48.354374018140426</v>
      </c>
      <c r="L69" s="374">
        <f t="shared" si="19"/>
        <v>70.026795163818804</v>
      </c>
    </row>
    <row r="70" spans="4:12">
      <c r="D70" s="359" t="s">
        <v>6</v>
      </c>
      <c r="E70" s="372">
        <f t="shared" si="20"/>
        <v>707.8</v>
      </c>
      <c r="F70" s="372">
        <f t="shared" si="20"/>
        <v>550.09</v>
      </c>
      <c r="G70" s="374">
        <f t="shared" si="20"/>
        <v>9.8599999999999993E-2</v>
      </c>
      <c r="H70" s="359">
        <f t="shared" si="16"/>
        <v>1145</v>
      </c>
      <c r="I70" s="370">
        <f t="shared" si="16"/>
        <v>303</v>
      </c>
      <c r="J70" s="374">
        <f t="shared" si="17"/>
        <v>1.710068130956738</v>
      </c>
      <c r="K70" s="374">
        <f t="shared" si="18"/>
        <v>7.2530361143589328</v>
      </c>
      <c r="L70" s="374">
        <f t="shared" si="19"/>
        <v>9.8094540489307995</v>
      </c>
    </row>
    <row r="71" spans="4:12">
      <c r="D71" s="359" t="s">
        <v>7</v>
      </c>
      <c r="E71" s="372">
        <f t="shared" si="20"/>
        <v>616.29999999999995</v>
      </c>
      <c r="F71" s="372">
        <f t="shared" si="20"/>
        <v>666.01</v>
      </c>
      <c r="G71" s="374">
        <f t="shared" si="20"/>
        <v>0.1542</v>
      </c>
      <c r="H71" s="359">
        <f t="shared" si="16"/>
        <v>1799</v>
      </c>
      <c r="I71" s="370">
        <f t="shared" si="16"/>
        <v>416</v>
      </c>
      <c r="J71" s="374">
        <f t="shared" si="17"/>
        <v>1.0740487045326881</v>
      </c>
      <c r="K71" s="374">
        <f t="shared" si="18"/>
        <v>2.0075848000202536</v>
      </c>
      <c r="L71" s="374">
        <f t="shared" si="19"/>
        <v>2.3363135830450839</v>
      </c>
    </row>
    <row r="72" spans="4:12">
      <c r="D72" s="359" t="s">
        <v>8</v>
      </c>
      <c r="E72" s="372">
        <f t="shared" si="20"/>
        <v>529.1</v>
      </c>
      <c r="F72" s="372">
        <f t="shared" si="20"/>
        <v>734.98</v>
      </c>
      <c r="G72" s="374">
        <f t="shared" si="20"/>
        <v>0.18479999999999999</v>
      </c>
      <c r="H72" s="359">
        <f t="shared" si="16"/>
        <v>2037</v>
      </c>
      <c r="I72" s="370">
        <f t="shared" si="16"/>
        <v>471</v>
      </c>
      <c r="J72" s="374">
        <f t="shared" si="17"/>
        <v>0.64434689999333472</v>
      </c>
      <c r="K72" s="374">
        <f t="shared" si="18"/>
        <v>0.84292118931791049</v>
      </c>
      <c r="L72" s="374">
        <f t="shared" si="19"/>
        <v>0.87787127127767339</v>
      </c>
    </row>
    <row r="73" spans="4:12">
      <c r="D73" s="359" t="s">
        <v>9</v>
      </c>
      <c r="E73" s="372">
        <f t="shared" si="20"/>
        <v>550.70000000000005</v>
      </c>
      <c r="F73" s="372">
        <f t="shared" si="20"/>
        <v>765.65</v>
      </c>
      <c r="G73" s="374">
        <f t="shared" si="20"/>
        <v>0.20100000000000001</v>
      </c>
      <c r="H73" s="359">
        <f t="shared" si="16"/>
        <v>2153</v>
      </c>
      <c r="I73" s="370">
        <f t="shared" si="16"/>
        <v>491</v>
      </c>
      <c r="J73" s="374">
        <f t="shared" si="17"/>
        <v>0.49484364576070972</v>
      </c>
      <c r="K73" s="374">
        <f t="shared" si="18"/>
        <v>0.62324562902057479</v>
      </c>
      <c r="L73" s="374">
        <f t="shared" si="19"/>
        <v>0.6211593139738989</v>
      </c>
    </row>
    <row r="74" spans="4:12">
      <c r="D74" s="359" t="s">
        <v>124</v>
      </c>
      <c r="E74" s="372">
        <f t="shared" si="20"/>
        <v>490.4</v>
      </c>
      <c r="F74" s="372">
        <f t="shared" si="20"/>
        <v>829.1</v>
      </c>
      <c r="G74" s="374">
        <f t="shared" si="20"/>
        <v>0.2223</v>
      </c>
      <c r="H74" s="359">
        <f t="shared" si="16"/>
        <v>2368</v>
      </c>
      <c r="I74" s="370">
        <f t="shared" si="16"/>
        <v>542</v>
      </c>
      <c r="J74" s="374">
        <f t="shared" si="17"/>
        <v>9.0452158003474184E-2</v>
      </c>
      <c r="K74" s="374">
        <f t="shared" si="18"/>
        <v>0.27540494002657118</v>
      </c>
      <c r="L74" s="374">
        <f t="shared" si="19"/>
        <v>0.24945520188516151</v>
      </c>
    </row>
    <row r="75" spans="4:12">
      <c r="D75" s="359" t="s">
        <v>125</v>
      </c>
      <c r="E75" s="372">
        <f t="shared" si="20"/>
        <v>488.6</v>
      </c>
      <c r="F75" s="372">
        <f t="shared" si="20"/>
        <v>845.7</v>
      </c>
      <c r="G75" s="374">
        <f t="shared" si="20"/>
        <v>0.25390000000000001</v>
      </c>
      <c r="H75" s="359">
        <f t="shared" si="16"/>
        <v>2480</v>
      </c>
      <c r="I75" s="370">
        <f t="shared" si="16"/>
        <v>557</v>
      </c>
      <c r="J75" s="374">
        <f t="shared" si="17"/>
        <v>-2.8491757461616592E-2</v>
      </c>
      <c r="K75" s="374">
        <f t="shared" si="18"/>
        <v>0.21659442321897848</v>
      </c>
      <c r="L75" s="374">
        <f t="shared" si="19"/>
        <v>0.1866307163381844</v>
      </c>
    </row>
    <row r="76" spans="4:12">
      <c r="D76" s="359" t="s">
        <v>115</v>
      </c>
      <c r="E76" s="372">
        <f t="shared" si="20"/>
        <v>436.9</v>
      </c>
      <c r="F76" s="372">
        <f t="shared" si="20"/>
        <v>913.7</v>
      </c>
      <c r="G76" s="374">
        <f t="shared" si="20"/>
        <v>0.30070000000000002</v>
      </c>
      <c r="H76" s="359">
        <f t="shared" si="16"/>
        <v>2738</v>
      </c>
      <c r="I76" s="370">
        <f t="shared" si="16"/>
        <v>610</v>
      </c>
      <c r="J76" s="374">
        <f t="shared" si="17"/>
        <v>-0.45855061874971448</v>
      </c>
      <c r="K76" s="374">
        <f t="shared" si="18"/>
        <v>9.0875575058574326E-2</v>
      </c>
      <c r="L76" s="374">
        <f t="shared" si="19"/>
        <v>6.1955475612116583E-2</v>
      </c>
    </row>
    <row r="77" spans="4:12">
      <c r="D77" s="359" t="s">
        <v>339</v>
      </c>
      <c r="E77" s="372">
        <f t="shared" si="20"/>
        <v>320.3</v>
      </c>
      <c r="F77" s="372">
        <f t="shared" si="20"/>
        <v>1139.4000000000001</v>
      </c>
      <c r="G77" s="374">
        <f t="shared" si="20"/>
        <v>0.50690000000000002</v>
      </c>
      <c r="H77" s="385">
        <f>C59</f>
        <v>3363.417567141677</v>
      </c>
      <c r="I77" s="370">
        <f>C60</f>
        <v>722.98639582505155</v>
      </c>
      <c r="J77" s="374">
        <f t="shared" si="17"/>
        <v>-1.4249752799486983</v>
      </c>
      <c r="K77" s="374">
        <f t="shared" si="18"/>
        <v>1.2906434421981477E-2</v>
      </c>
      <c r="L77" s="374">
        <f t="shared" si="19"/>
        <v>8.1489669409547344E-4</v>
      </c>
    </row>
    <row r="78" spans="4:12">
      <c r="D78"/>
      <c r="E78"/>
      <c r="F78"/>
      <c r="G78"/>
      <c r="H78"/>
      <c r="I78"/>
      <c r="J78"/>
    </row>
    <row r="79" spans="4:12">
      <c r="D79" s="147" t="s">
        <v>369</v>
      </c>
      <c r="E79"/>
      <c r="F79"/>
      <c r="G79"/>
      <c r="H79"/>
      <c r="I79"/>
      <c r="J79"/>
    </row>
    <row r="80" spans="4:12">
      <c r="D80"/>
      <c r="E80" t="s">
        <v>407</v>
      </c>
      <c r="F80"/>
      <c r="G80"/>
      <c r="H80"/>
      <c r="I80"/>
      <c r="J80"/>
    </row>
    <row r="81" spans="2:68">
      <c r="D81"/>
      <c r="E81"/>
      <c r="F81"/>
      <c r="G81"/>
      <c r="H81"/>
      <c r="I81"/>
      <c r="J81"/>
    </row>
    <row r="82" spans="2:68">
      <c r="B82" s="386"/>
      <c r="C82" s="360" t="s">
        <v>744</v>
      </c>
      <c r="D82" s="386"/>
      <c r="E82" s="359"/>
      <c r="F82" s="359"/>
      <c r="G82" s="359"/>
      <c r="H82" s="359"/>
      <c r="I82" s="359"/>
      <c r="J82" s="359"/>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c r="AS82" s="386"/>
      <c r="AT82" s="386"/>
      <c r="AU82" s="386"/>
      <c r="AV82" s="386"/>
      <c r="AW82" s="386"/>
      <c r="AX82" s="386"/>
      <c r="AY82" s="386"/>
      <c r="AZ82" s="386"/>
      <c r="BA82" s="386"/>
      <c r="BB82" s="386"/>
      <c r="BC82" s="386"/>
      <c r="BD82" s="386"/>
      <c r="BE82" s="386"/>
      <c r="BF82" s="386"/>
      <c r="BG82" s="386"/>
      <c r="BH82" s="386"/>
      <c r="BI82" s="386"/>
      <c r="BJ82" s="386"/>
      <c r="BK82" s="386"/>
      <c r="BL82" s="386"/>
      <c r="BM82" s="386"/>
      <c r="BN82" s="386"/>
      <c r="BO82" s="386"/>
      <c r="BP82" s="386"/>
    </row>
    <row r="83" spans="2:68">
      <c r="B83" s="386" t="s">
        <v>113</v>
      </c>
      <c r="C83" s="387">
        <v>1E-3</v>
      </c>
      <c r="D83" s="387">
        <v>0.02</v>
      </c>
      <c r="E83" s="359">
        <v>0.04</v>
      </c>
      <c r="F83" s="359">
        <v>0.06</v>
      </c>
      <c r="G83" s="359">
        <v>0.08</v>
      </c>
      <c r="H83" s="359">
        <v>0.1</v>
      </c>
      <c r="I83" s="359">
        <v>0.12</v>
      </c>
      <c r="J83" s="359">
        <v>0.14000000000000001</v>
      </c>
      <c r="K83" s="359">
        <v>0.16</v>
      </c>
      <c r="L83" s="359">
        <v>0.18</v>
      </c>
      <c r="M83" s="359">
        <v>0.2</v>
      </c>
      <c r="N83" s="359">
        <v>0.22</v>
      </c>
      <c r="O83" s="359">
        <v>0.24</v>
      </c>
      <c r="P83" s="359">
        <v>0.26</v>
      </c>
      <c r="Q83" s="359">
        <v>0.28000000000000003</v>
      </c>
      <c r="R83" s="359">
        <v>0.3</v>
      </c>
      <c r="S83" s="359">
        <v>0.32</v>
      </c>
      <c r="T83" s="359">
        <v>0.34</v>
      </c>
      <c r="U83" s="359">
        <v>0.36</v>
      </c>
      <c r="V83" s="359">
        <v>0.38</v>
      </c>
      <c r="W83" s="359">
        <v>0.4</v>
      </c>
      <c r="X83" s="359">
        <v>0.42</v>
      </c>
      <c r="Y83" s="359">
        <v>0.44</v>
      </c>
      <c r="Z83" s="359">
        <v>0.46</v>
      </c>
      <c r="AA83" s="359">
        <v>0.48</v>
      </c>
      <c r="AB83" s="359">
        <v>0.5</v>
      </c>
      <c r="AC83" s="359">
        <v>0.52</v>
      </c>
      <c r="AD83" s="359">
        <v>0.54</v>
      </c>
      <c r="AE83" s="359">
        <v>0.56000000000000005</v>
      </c>
      <c r="AF83" s="359">
        <v>0.57999999999999996</v>
      </c>
      <c r="AG83" s="359">
        <v>0.6</v>
      </c>
      <c r="AH83" s="359">
        <v>0.62</v>
      </c>
      <c r="AI83" s="359">
        <v>0.64</v>
      </c>
      <c r="AJ83" s="359">
        <v>0.66</v>
      </c>
      <c r="AK83" s="359">
        <v>0.68</v>
      </c>
      <c r="AL83" s="359">
        <v>0.7</v>
      </c>
      <c r="AM83" s="359">
        <v>0.72</v>
      </c>
      <c r="AN83" s="359">
        <v>0.74</v>
      </c>
      <c r="AO83" s="359">
        <v>0.76</v>
      </c>
      <c r="AP83" s="359">
        <v>0.78</v>
      </c>
      <c r="AQ83" s="359">
        <v>0.8</v>
      </c>
      <c r="AR83" s="359">
        <v>0.82</v>
      </c>
      <c r="AS83" s="359">
        <v>0.84</v>
      </c>
      <c r="AT83" s="359">
        <v>0.86</v>
      </c>
      <c r="AU83" s="359">
        <v>0.88</v>
      </c>
      <c r="AV83" s="359">
        <v>0.9</v>
      </c>
      <c r="AW83" s="359">
        <v>0.91</v>
      </c>
      <c r="AX83" s="359">
        <v>0.92</v>
      </c>
      <c r="AY83" s="359">
        <v>0.93</v>
      </c>
      <c r="AZ83" s="359">
        <v>0.94</v>
      </c>
      <c r="BA83" s="359">
        <v>0.95</v>
      </c>
      <c r="BB83" s="387">
        <v>0.96</v>
      </c>
      <c r="BC83" s="387">
        <v>0.97</v>
      </c>
      <c r="BD83" s="387">
        <v>0.98</v>
      </c>
      <c r="BE83" s="387">
        <v>0.98499999999999999</v>
      </c>
      <c r="BF83" s="387">
        <v>0.99</v>
      </c>
      <c r="BG83" s="387">
        <v>0.99099999999999999</v>
      </c>
      <c r="BH83" s="387">
        <v>0.99199999999999999</v>
      </c>
      <c r="BI83" s="387">
        <v>0.99299999999999999</v>
      </c>
      <c r="BJ83" s="387">
        <v>0.99399999999999999</v>
      </c>
      <c r="BK83" s="387">
        <v>0.995</v>
      </c>
      <c r="BL83" s="387">
        <v>0.996</v>
      </c>
      <c r="BM83" s="387">
        <v>0.997</v>
      </c>
      <c r="BN83" s="387">
        <v>0.998</v>
      </c>
      <c r="BO83" s="387">
        <v>0.999</v>
      </c>
      <c r="BP83" s="387"/>
    </row>
    <row r="84" spans="2:68">
      <c r="B84" s="386" t="s">
        <v>745</v>
      </c>
      <c r="C84" s="388">
        <f>IF((C99-$BP99)=0,C83,1)</f>
        <v>1</v>
      </c>
      <c r="D84" s="388">
        <f>IF((D99-$BP99)=0,D83,1)</f>
        <v>1</v>
      </c>
      <c r="E84" s="388">
        <f t="shared" ref="E84:BO84" si="21">IF((E99-$BP99)=0,E83,1)</f>
        <v>1</v>
      </c>
      <c r="F84" s="388">
        <f t="shared" si="21"/>
        <v>1</v>
      </c>
      <c r="G84" s="388">
        <f t="shared" si="21"/>
        <v>1</v>
      </c>
      <c r="H84" s="388">
        <f t="shared" si="21"/>
        <v>1</v>
      </c>
      <c r="I84" s="388">
        <f t="shared" si="21"/>
        <v>1</v>
      </c>
      <c r="J84" s="388">
        <f t="shared" si="21"/>
        <v>1</v>
      </c>
      <c r="K84" s="388">
        <f t="shared" si="21"/>
        <v>1</v>
      </c>
      <c r="L84" s="388">
        <f t="shared" si="21"/>
        <v>1</v>
      </c>
      <c r="M84" s="388">
        <f t="shared" si="21"/>
        <v>1</v>
      </c>
      <c r="N84" s="388">
        <f t="shared" si="21"/>
        <v>1</v>
      </c>
      <c r="O84" s="388">
        <f t="shared" si="21"/>
        <v>1</v>
      </c>
      <c r="P84" s="388">
        <f t="shared" si="21"/>
        <v>1</v>
      </c>
      <c r="Q84" s="388">
        <f t="shared" si="21"/>
        <v>1</v>
      </c>
      <c r="R84" s="388">
        <f t="shared" si="21"/>
        <v>1</v>
      </c>
      <c r="S84" s="388">
        <f t="shared" si="21"/>
        <v>1</v>
      </c>
      <c r="T84" s="388">
        <f t="shared" si="21"/>
        <v>1</v>
      </c>
      <c r="U84" s="388">
        <f t="shared" si="21"/>
        <v>1</v>
      </c>
      <c r="V84" s="388">
        <f t="shared" si="21"/>
        <v>1</v>
      </c>
      <c r="W84" s="388">
        <f t="shared" si="21"/>
        <v>1</v>
      </c>
      <c r="X84" s="388">
        <f t="shared" si="21"/>
        <v>1</v>
      </c>
      <c r="Y84" s="388">
        <f t="shared" si="21"/>
        <v>1</v>
      </c>
      <c r="Z84" s="388">
        <f t="shared" si="21"/>
        <v>1</v>
      </c>
      <c r="AA84" s="388">
        <f t="shared" si="21"/>
        <v>1</v>
      </c>
      <c r="AB84" s="388">
        <f t="shared" si="21"/>
        <v>1</v>
      </c>
      <c r="AC84" s="388">
        <f t="shared" si="21"/>
        <v>1</v>
      </c>
      <c r="AD84" s="388">
        <f t="shared" si="21"/>
        <v>1</v>
      </c>
      <c r="AE84" s="388">
        <f t="shared" si="21"/>
        <v>1</v>
      </c>
      <c r="AF84" s="388">
        <f t="shared" si="21"/>
        <v>1</v>
      </c>
      <c r="AG84" s="388">
        <f t="shared" si="21"/>
        <v>1</v>
      </c>
      <c r="AH84" s="388">
        <f t="shared" si="21"/>
        <v>1</v>
      </c>
      <c r="AI84" s="388">
        <f t="shared" si="21"/>
        <v>1</v>
      </c>
      <c r="AJ84" s="388">
        <f t="shared" si="21"/>
        <v>1</v>
      </c>
      <c r="AK84" s="388">
        <f t="shared" si="21"/>
        <v>1</v>
      </c>
      <c r="AL84" s="388">
        <f t="shared" si="21"/>
        <v>1</v>
      </c>
      <c r="AM84" s="388">
        <f t="shared" si="21"/>
        <v>1</v>
      </c>
      <c r="AN84" s="388">
        <f t="shared" si="21"/>
        <v>1</v>
      </c>
      <c r="AO84" s="388">
        <f t="shared" si="21"/>
        <v>1</v>
      </c>
      <c r="AP84" s="388">
        <f t="shared" si="21"/>
        <v>1</v>
      </c>
      <c r="AQ84" s="388">
        <f t="shared" si="21"/>
        <v>1</v>
      </c>
      <c r="AR84" s="388">
        <f t="shared" si="21"/>
        <v>1</v>
      </c>
      <c r="AS84" s="388">
        <f t="shared" si="21"/>
        <v>1</v>
      </c>
      <c r="AT84" s="388">
        <f t="shared" si="21"/>
        <v>1</v>
      </c>
      <c r="AU84" s="388">
        <f t="shared" si="21"/>
        <v>1</v>
      </c>
      <c r="AV84" s="388">
        <f t="shared" si="21"/>
        <v>1</v>
      </c>
      <c r="AW84" s="388">
        <f t="shared" si="21"/>
        <v>1</v>
      </c>
      <c r="AX84" s="388">
        <f t="shared" si="21"/>
        <v>1</v>
      </c>
      <c r="AY84" s="388">
        <f t="shared" si="21"/>
        <v>1</v>
      </c>
      <c r="AZ84" s="388">
        <f t="shared" si="21"/>
        <v>1</v>
      </c>
      <c r="BA84" s="388">
        <f t="shared" si="21"/>
        <v>1</v>
      </c>
      <c r="BB84" s="388">
        <f t="shared" si="21"/>
        <v>1</v>
      </c>
      <c r="BC84" s="388">
        <f t="shared" si="21"/>
        <v>1</v>
      </c>
      <c r="BD84" s="388">
        <f t="shared" si="21"/>
        <v>1</v>
      </c>
      <c r="BE84" s="388">
        <f t="shared" si="21"/>
        <v>1</v>
      </c>
      <c r="BF84" s="388">
        <f t="shared" si="21"/>
        <v>1</v>
      </c>
      <c r="BG84" s="388">
        <f t="shared" si="21"/>
        <v>1</v>
      </c>
      <c r="BH84" s="388">
        <f t="shared" si="21"/>
        <v>1</v>
      </c>
      <c r="BI84" s="388">
        <f t="shared" si="21"/>
        <v>1</v>
      </c>
      <c r="BJ84" s="388">
        <f t="shared" si="21"/>
        <v>1</v>
      </c>
      <c r="BK84" s="388">
        <f t="shared" si="21"/>
        <v>1</v>
      </c>
      <c r="BL84" s="388">
        <f t="shared" si="21"/>
        <v>1</v>
      </c>
      <c r="BM84" s="388">
        <f t="shared" si="21"/>
        <v>1</v>
      </c>
      <c r="BN84" s="388">
        <f t="shared" si="21"/>
        <v>1</v>
      </c>
      <c r="BO84" s="388">
        <f t="shared" si="21"/>
        <v>0.999</v>
      </c>
      <c r="BP84" s="386"/>
    </row>
    <row r="85" spans="2:68" ht="60">
      <c r="B85" s="386"/>
      <c r="C85" s="389" t="s">
        <v>333</v>
      </c>
      <c r="D85" s="389" t="s">
        <v>333</v>
      </c>
      <c r="E85" s="389" t="s">
        <v>333</v>
      </c>
      <c r="F85" s="389" t="s">
        <v>333</v>
      </c>
      <c r="G85" s="389" t="s">
        <v>333</v>
      </c>
      <c r="H85" s="389" t="s">
        <v>333</v>
      </c>
      <c r="I85" s="389" t="s">
        <v>333</v>
      </c>
      <c r="J85" s="389" t="s">
        <v>333</v>
      </c>
      <c r="K85" s="389" t="s">
        <v>333</v>
      </c>
      <c r="L85" s="389" t="s">
        <v>333</v>
      </c>
      <c r="M85" s="389" t="s">
        <v>333</v>
      </c>
      <c r="N85" s="389" t="s">
        <v>333</v>
      </c>
      <c r="O85" s="389" t="s">
        <v>333</v>
      </c>
      <c r="P85" s="389" t="s">
        <v>333</v>
      </c>
      <c r="Q85" s="389" t="s">
        <v>333</v>
      </c>
      <c r="R85" s="389" t="s">
        <v>333</v>
      </c>
      <c r="S85" s="389" t="s">
        <v>333</v>
      </c>
      <c r="T85" s="389" t="s">
        <v>333</v>
      </c>
      <c r="U85" s="389" t="s">
        <v>333</v>
      </c>
      <c r="V85" s="389" t="s">
        <v>333</v>
      </c>
      <c r="W85" s="389" t="s">
        <v>333</v>
      </c>
      <c r="X85" s="389" t="s">
        <v>333</v>
      </c>
      <c r="Y85" s="389" t="s">
        <v>333</v>
      </c>
      <c r="Z85" s="389" t="s">
        <v>333</v>
      </c>
      <c r="AA85" s="389" t="s">
        <v>333</v>
      </c>
      <c r="AB85" s="389" t="s">
        <v>333</v>
      </c>
      <c r="AC85" s="389" t="s">
        <v>333</v>
      </c>
      <c r="AD85" s="389" t="s">
        <v>333</v>
      </c>
      <c r="AE85" s="389" t="s">
        <v>333</v>
      </c>
      <c r="AF85" s="389" t="s">
        <v>333</v>
      </c>
      <c r="AG85" s="389" t="s">
        <v>333</v>
      </c>
      <c r="AH85" s="389" t="s">
        <v>333</v>
      </c>
      <c r="AI85" s="389" t="s">
        <v>333</v>
      </c>
      <c r="AJ85" s="389" t="s">
        <v>333</v>
      </c>
      <c r="AK85" s="389" t="s">
        <v>333</v>
      </c>
      <c r="AL85" s="389" t="s">
        <v>333</v>
      </c>
      <c r="AM85" s="389" t="s">
        <v>333</v>
      </c>
      <c r="AN85" s="389" t="s">
        <v>333</v>
      </c>
      <c r="AO85" s="389" t="s">
        <v>333</v>
      </c>
      <c r="AP85" s="389" t="s">
        <v>333</v>
      </c>
      <c r="AQ85" s="389" t="s">
        <v>333</v>
      </c>
      <c r="AR85" s="389" t="s">
        <v>333</v>
      </c>
      <c r="AS85" s="389" t="s">
        <v>333</v>
      </c>
      <c r="AT85" s="389" t="s">
        <v>333</v>
      </c>
      <c r="AU85" s="389" t="s">
        <v>333</v>
      </c>
      <c r="AV85" s="389" t="s">
        <v>333</v>
      </c>
      <c r="AW85" s="389" t="s">
        <v>333</v>
      </c>
      <c r="AX85" s="389" t="s">
        <v>333</v>
      </c>
      <c r="AY85" s="389" t="s">
        <v>333</v>
      </c>
      <c r="AZ85" s="389" t="s">
        <v>333</v>
      </c>
      <c r="BA85" s="389" t="s">
        <v>333</v>
      </c>
      <c r="BB85" s="389" t="s">
        <v>333</v>
      </c>
      <c r="BC85" s="389" t="s">
        <v>333</v>
      </c>
      <c r="BD85" s="389" t="s">
        <v>333</v>
      </c>
      <c r="BE85" s="389" t="s">
        <v>333</v>
      </c>
      <c r="BF85" s="389" t="s">
        <v>333</v>
      </c>
      <c r="BG85" s="389" t="s">
        <v>333</v>
      </c>
      <c r="BH85" s="389" t="s">
        <v>333</v>
      </c>
      <c r="BI85" s="389" t="s">
        <v>333</v>
      </c>
      <c r="BJ85" s="389" t="s">
        <v>333</v>
      </c>
      <c r="BK85" s="389" t="s">
        <v>333</v>
      </c>
      <c r="BL85" s="389" t="s">
        <v>333</v>
      </c>
      <c r="BM85" s="389" t="s">
        <v>333</v>
      </c>
      <c r="BN85" s="389" t="s">
        <v>333</v>
      </c>
      <c r="BO85" s="389" t="s">
        <v>333</v>
      </c>
      <c r="BP85" s="386"/>
    </row>
    <row r="86" spans="2:68">
      <c r="B86" s="359" t="s">
        <v>4</v>
      </c>
      <c r="C86" s="386">
        <f t="shared" ref="C86:BN89" si="22">$E14*($C14-1)/(1+C$83*($C14-1))</f>
        <v>1.7917620183196745</v>
      </c>
      <c r="D86" s="386">
        <f t="shared" si="22"/>
        <v>0.46682756696622441</v>
      </c>
      <c r="E86" s="386">
        <f t="shared" si="22"/>
        <v>0.26250190333991408</v>
      </c>
      <c r="F86" s="386">
        <f t="shared" si="22"/>
        <v>0.18258591223942502</v>
      </c>
      <c r="G86" s="386">
        <f t="shared" si="22"/>
        <v>0.1399726774333212</v>
      </c>
      <c r="H86" s="386">
        <f t="shared" si="22"/>
        <v>0.11348639341245297</v>
      </c>
      <c r="I86" s="386">
        <f t="shared" si="22"/>
        <v>9.5428892499512072E-2</v>
      </c>
      <c r="J86" s="386">
        <f t="shared" si="22"/>
        <v>8.2329027072324229E-2</v>
      </c>
      <c r="K86" s="386">
        <f t="shared" si="22"/>
        <v>7.2391576427886115E-2</v>
      </c>
      <c r="L86" s="386">
        <f t="shared" si="22"/>
        <v>6.4594728259111875E-2</v>
      </c>
      <c r="M86" s="386">
        <f t="shared" si="22"/>
        <v>5.8314080007537412E-2</v>
      </c>
      <c r="N86" s="386">
        <f t="shared" si="22"/>
        <v>5.3146555788653134E-2</v>
      </c>
      <c r="O86" s="386">
        <f t="shared" si="22"/>
        <v>4.8820324315223491E-2</v>
      </c>
      <c r="P86" s="386">
        <f t="shared" si="22"/>
        <v>4.5145402084073846E-2</v>
      </c>
      <c r="Q86" s="386">
        <f t="shared" si="22"/>
        <v>4.1985004663968484E-2</v>
      </c>
      <c r="R86" s="386">
        <f t="shared" si="22"/>
        <v>3.9238144001582848E-2</v>
      </c>
      <c r="S86" s="386">
        <f t="shared" si="22"/>
        <v>3.6828637636565006E-2</v>
      </c>
      <c r="T86" s="386">
        <f t="shared" si="22"/>
        <v>3.4697933118564089E-2</v>
      </c>
      <c r="U86" s="386">
        <f t="shared" si="22"/>
        <v>3.2800287040052112E-2</v>
      </c>
      <c r="V86" s="386">
        <f t="shared" si="22"/>
        <v>3.1099444002688863E-2</v>
      </c>
      <c r="W86" s="386">
        <f t="shared" si="22"/>
        <v>2.9566297909237652E-2</v>
      </c>
      <c r="X86" s="386">
        <f t="shared" si="22"/>
        <v>2.8177212519330946E-2</v>
      </c>
      <c r="Y86" s="386">
        <f t="shared" si="22"/>
        <v>2.691279418341001E-2</v>
      </c>
      <c r="Z86" s="386">
        <f t="shared" si="22"/>
        <v>2.5756980818190129E-2</v>
      </c>
      <c r="AA86" s="386">
        <f t="shared" si="22"/>
        <v>2.4696355967962057E-2</v>
      </c>
      <c r="AB86" s="386">
        <f t="shared" si="22"/>
        <v>2.371962563738874E-2</v>
      </c>
      <c r="AC86" s="386">
        <f t="shared" si="22"/>
        <v>2.2817214547406012E-2</v>
      </c>
      <c r="AD86" s="386">
        <f t="shared" si="22"/>
        <v>2.1980951175773363E-2</v>
      </c>
      <c r="AE86" s="386">
        <f t="shared" si="22"/>
        <v>2.1203819609546089E-2</v>
      </c>
      <c r="AF86" s="386">
        <f t="shared" si="22"/>
        <v>2.0479762239249417E-2</v>
      </c>
      <c r="AG86" s="386">
        <f t="shared" si="22"/>
        <v>1.9803521543222014E-2</v>
      </c>
      <c r="AH86" s="386">
        <f t="shared" si="22"/>
        <v>1.9170512215649482E-2</v>
      </c>
      <c r="AI86" s="386">
        <f t="shared" si="22"/>
        <v>1.8576717059144158E-2</v>
      </c>
      <c r="AJ86" s="386">
        <f t="shared" si="22"/>
        <v>1.8018601644028198E-2</v>
      </c>
      <c r="AK86" s="386">
        <f t="shared" si="22"/>
        <v>1.7493043902673856E-2</v>
      </c>
      <c r="AL86" s="386">
        <f t="shared" si="22"/>
        <v>1.6997275695992648E-2</v>
      </c>
      <c r="AM86" s="386">
        <f t="shared" si="22"/>
        <v>1.652883404242253E-2</v>
      </c>
      <c r="AN86" s="386">
        <f t="shared" si="22"/>
        <v>1.608552019533269E-2</v>
      </c>
      <c r="AO86" s="386">
        <f t="shared" si="22"/>
        <v>1.5665365133836869E-2</v>
      </c>
      <c r="AP86" s="386">
        <f t="shared" si="22"/>
        <v>1.5266600324233652E-2</v>
      </c>
      <c r="AQ86" s="386">
        <f t="shared" si="22"/>
        <v>1.4887632836233008E-2</v>
      </c>
      <c r="AR86" s="386">
        <f t="shared" si="22"/>
        <v>1.4527024075596572E-2</v>
      </c>
      <c r="AS86" s="386">
        <f t="shared" si="22"/>
        <v>1.4183471534514585E-2</v>
      </c>
      <c r="AT86" s="386">
        <f t="shared" si="22"/>
        <v>1.3855793071691476E-2</v>
      </c>
      <c r="AU86" s="386">
        <f t="shared" si="22"/>
        <v>1.3542913322273963E-2</v>
      </c>
      <c r="AV86" s="386">
        <f t="shared" si="22"/>
        <v>1.3243851908395924E-2</v>
      </c>
      <c r="AW86" s="386">
        <f t="shared" si="22"/>
        <v>1.3099220129421113E-2</v>
      </c>
      <c r="AX86" s="386">
        <f t="shared" si="22"/>
        <v>1.2957713178018694E-2</v>
      </c>
      <c r="AY86" s="386">
        <f t="shared" si="22"/>
        <v>1.2819230866754688E-2</v>
      </c>
      <c r="AZ86" s="386">
        <f t="shared" si="22"/>
        <v>1.2683677245818911E-2</v>
      </c>
      <c r="BA86" s="386">
        <f t="shared" si="22"/>
        <v>1.2550960381321072E-2</v>
      </c>
      <c r="BB86" s="386">
        <f t="shared" si="22"/>
        <v>1.2420992147361672E-2</v>
      </c>
      <c r="BC86" s="386">
        <f t="shared" si="22"/>
        <v>1.2293688030889406E-2</v>
      </c>
      <c r="BD86" s="386">
        <f t="shared" si="22"/>
        <v>1.2168966948437063E-2</v>
      </c>
      <c r="BE86" s="386">
        <f t="shared" si="22"/>
        <v>1.2107550601565421E-2</v>
      </c>
      <c r="BF86" s="386">
        <f t="shared" si="22"/>
        <v>1.2046751073900826E-2</v>
      </c>
      <c r="BG86" s="386">
        <f t="shared" si="22"/>
        <v>1.2034664369771101E-2</v>
      </c>
      <c r="BH86" s="386">
        <f t="shared" si="22"/>
        <v>1.2022601894911129E-2</v>
      </c>
      <c r="BI86" s="386">
        <f t="shared" si="22"/>
        <v>1.201056357653808E-2</v>
      </c>
      <c r="BJ86" s="386">
        <f t="shared" si="22"/>
        <v>1.1998549342160346E-2</v>
      </c>
      <c r="BK86" s="386">
        <f t="shared" si="22"/>
        <v>1.1986559119576081E-2</v>
      </c>
      <c r="BL86" s="386">
        <f t="shared" si="22"/>
        <v>1.1974592836871759E-2</v>
      </c>
      <c r="BM86" s="386">
        <f t="shared" si="22"/>
        <v>1.1962650422420739E-2</v>
      </c>
      <c r="BN86" s="386">
        <f t="shared" si="22"/>
        <v>1.1950731804881824E-2</v>
      </c>
      <c r="BO86" s="386">
        <f t="shared" ref="BO86:CU88" si="23">$E14*($C14-1)/(1+BO$83*($C14-1))</f>
        <v>1.1938836913197854E-2</v>
      </c>
      <c r="BP86" s="386"/>
    </row>
    <row r="87" spans="2:68">
      <c r="B87" s="359" t="s">
        <v>70</v>
      </c>
      <c r="C87" s="386">
        <f t="shared" si="22"/>
        <v>0.78344851382005209</v>
      </c>
      <c r="D87" s="386">
        <f t="shared" si="22"/>
        <v>0.61794711368153632</v>
      </c>
      <c r="E87" s="386">
        <f t="shared" si="22"/>
        <v>0.50553378861608811</v>
      </c>
      <c r="F87" s="386">
        <f t="shared" si="22"/>
        <v>0.42772462604867961</v>
      </c>
      <c r="G87" s="386">
        <f t="shared" si="22"/>
        <v>0.37067260391524187</v>
      </c>
      <c r="H87" s="386">
        <f t="shared" si="22"/>
        <v>0.32704917097528152</v>
      </c>
      <c r="I87" s="386">
        <f t="shared" si="22"/>
        <v>0.29261242452120867</v>
      </c>
      <c r="J87" s="386">
        <f t="shared" si="22"/>
        <v>0.26473687145898545</v>
      </c>
      <c r="K87" s="386">
        <f t="shared" si="22"/>
        <v>0.24171046415495243</v>
      </c>
      <c r="L87" s="386">
        <f t="shared" si="22"/>
        <v>0.22236913741860279</v>
      </c>
      <c r="M87" s="386">
        <f t="shared" si="22"/>
        <v>0.2058938084112478</v>
      </c>
      <c r="N87" s="386">
        <f t="shared" si="22"/>
        <v>0.19169139340489388</v>
      </c>
      <c r="O87" s="386">
        <f t="shared" si="22"/>
        <v>0.17932189119350414</v>
      </c>
      <c r="P87" s="386">
        <f t="shared" si="22"/>
        <v>0.16845198629100089</v>
      </c>
      <c r="Q87" s="386">
        <f t="shared" si="22"/>
        <v>0.15882456224219146</v>
      </c>
      <c r="R87" s="386">
        <f t="shared" si="22"/>
        <v>0.15023810405955074</v>
      </c>
      <c r="S87" s="386">
        <f t="shared" si="22"/>
        <v>0.14253243931494225</v>
      </c>
      <c r="T87" s="386">
        <f t="shared" si="22"/>
        <v>0.13557865316112422</v>
      </c>
      <c r="U87" s="386">
        <f t="shared" si="22"/>
        <v>0.12927181814573249</v>
      </c>
      <c r="V87" s="386">
        <f t="shared" si="22"/>
        <v>0.12352566299158046</v>
      </c>
      <c r="W87" s="386">
        <f t="shared" si="22"/>
        <v>0.11826860270752033</v>
      </c>
      <c r="X87" s="386">
        <f t="shared" si="22"/>
        <v>0.11344074103220668</v>
      </c>
      <c r="Y87" s="386">
        <f t="shared" si="22"/>
        <v>0.10899157826547373</v>
      </c>
      <c r="Z87" s="386">
        <f t="shared" si="22"/>
        <v>0.10487823813811867</v>
      </c>
      <c r="AA87" s="386">
        <f t="shared" si="22"/>
        <v>0.10106408158728228</v>
      </c>
      <c r="AB87" s="386">
        <f t="shared" si="22"/>
        <v>9.7517612398306308E-2</v>
      </c>
      <c r="AC87" s="386">
        <f t="shared" si="22"/>
        <v>9.4211605449802727E-2</v>
      </c>
      <c r="AD87" s="386">
        <f t="shared" si="22"/>
        <v>9.1122406467812597E-2</v>
      </c>
      <c r="AE87" s="386">
        <f t="shared" si="22"/>
        <v>8.8229365172412186E-2</v>
      </c>
      <c r="AF87" s="386">
        <f t="shared" si="22"/>
        <v>8.5514373083520293E-2</v>
      </c>
      <c r="AG87" s="386">
        <f t="shared" si="22"/>
        <v>8.296148411492571E-2</v>
      </c>
      <c r="AH87" s="386">
        <f t="shared" si="22"/>
        <v>8.0556601157511898E-2</v>
      </c>
      <c r="AI87" s="386">
        <f t="shared" si="22"/>
        <v>7.8287215638660923E-2</v>
      </c>
      <c r="AJ87" s="386">
        <f t="shared" si="22"/>
        <v>7.6142189897213997E-2</v>
      </c>
      <c r="AK87" s="386">
        <f t="shared" si="22"/>
        <v>7.4111574381132417E-2</v>
      </c>
      <c r="AL87" s="386">
        <f t="shared" si="22"/>
        <v>7.2186453335982295E-2</v>
      </c>
      <c r="AM87" s="386">
        <f t="shared" si="22"/>
        <v>7.0358813934864775E-2</v>
      </c>
      <c r="AN87" s="386">
        <f t="shared" si="22"/>
        <v>6.862143479789401E-2</v>
      </c>
      <c r="AO87" s="386">
        <f t="shared" si="22"/>
        <v>6.6967790630467997E-2</v>
      </c>
      <c r="AP87" s="386">
        <f t="shared" si="22"/>
        <v>6.5391970325290857E-2</v>
      </c>
      <c r="AQ87" s="386">
        <f t="shared" si="22"/>
        <v>6.3888606361421421E-2</v>
      </c>
      <c r="AR87" s="386">
        <f t="shared" si="22"/>
        <v>6.2452813723172164E-2</v>
      </c>
      <c r="AS87" s="386">
        <f t="shared" si="22"/>
        <v>6.1080136874172214E-2</v>
      </c>
      <c r="AT87" s="386">
        <f t="shared" si="22"/>
        <v>5.9766503573913957E-2</v>
      </c>
      <c r="AU87" s="386">
        <f t="shared" si="22"/>
        <v>5.8508184528355281E-2</v>
      </c>
      <c r="AV87" s="386">
        <f t="shared" si="22"/>
        <v>5.7301758032498512E-2</v>
      </c>
      <c r="AW87" s="386">
        <f t="shared" si="22"/>
        <v>5.6717011589763264E-2</v>
      </c>
      <c r="AX87" s="386">
        <f t="shared" si="22"/>
        <v>5.6144078898968698E-2</v>
      </c>
      <c r="AY87" s="386">
        <f t="shared" si="22"/>
        <v>5.5582605526988391E-2</v>
      </c>
      <c r="AZ87" s="386">
        <f t="shared" si="22"/>
        <v>5.5032251078458001E-2</v>
      </c>
      <c r="BA87" s="386">
        <f t="shared" si="22"/>
        <v>5.44926885076105E-2</v>
      </c>
      <c r="BB87" s="386">
        <f t="shared" si="22"/>
        <v>5.396360347020096E-2</v>
      </c>
      <c r="BC87" s="386">
        <f t="shared" si="22"/>
        <v>5.34446937128224E-2</v>
      </c>
      <c r="BD87" s="386">
        <f t="shared" si="22"/>
        <v>5.2935668497119732E-2</v>
      </c>
      <c r="BE87" s="386">
        <f t="shared" si="22"/>
        <v>5.2684774750998031E-2</v>
      </c>
      <c r="BF87" s="386">
        <f t="shared" si="22"/>
        <v>5.2436248056597225E-2</v>
      </c>
      <c r="BG87" s="386">
        <f t="shared" si="22"/>
        <v>5.2386823818891357E-2</v>
      </c>
      <c r="BH87" s="386">
        <f t="shared" si="22"/>
        <v>5.2337492663932304E-2</v>
      </c>
      <c r="BI87" s="386">
        <f t="shared" si="22"/>
        <v>5.228825432900748E-2</v>
      </c>
      <c r="BJ87" s="386">
        <f t="shared" si="22"/>
        <v>5.2239108552391979E-2</v>
      </c>
      <c r="BK87" s="386">
        <f t="shared" si="22"/>
        <v>5.2190055073343962E-2</v>
      </c>
      <c r="BL87" s="386">
        <f t="shared" si="22"/>
        <v>5.2141093632100038E-2</v>
      </c>
      <c r="BM87" s="386">
        <f t="shared" si="22"/>
        <v>5.2092223969870677E-2</v>
      </c>
      <c r="BN87" s="386">
        <f t="shared" si="22"/>
        <v>5.2043445828835647E-2</v>
      </c>
      <c r="BO87" s="386">
        <f t="shared" si="23"/>
        <v>5.1994758952139487E-2</v>
      </c>
      <c r="BP87" s="386"/>
    </row>
    <row r="88" spans="2:68">
      <c r="B88" s="359" t="s">
        <v>2</v>
      </c>
      <c r="C88" s="386">
        <f t="shared" si="22"/>
        <v>2.828931386276529E-6</v>
      </c>
      <c r="D88" s="386">
        <f t="shared" si="22"/>
        <v>2.6846331686778069E-6</v>
      </c>
      <c r="E88" s="386">
        <f t="shared" si="22"/>
        <v>2.5478332174037815E-6</v>
      </c>
      <c r="F88" s="386">
        <f t="shared" si="22"/>
        <v>2.4242990256731862E-6</v>
      </c>
      <c r="G88" s="386">
        <f t="shared" si="22"/>
        <v>2.3121902159206366E-6</v>
      </c>
      <c r="H88" s="386">
        <f t="shared" si="22"/>
        <v>2.2099917881252727E-6</v>
      </c>
      <c r="I88" s="386">
        <f t="shared" si="22"/>
        <v>2.1164452554347237E-6</v>
      </c>
      <c r="J88" s="386">
        <f t="shared" si="22"/>
        <v>2.030496559254509E-6</v>
      </c>
      <c r="K88" s="386">
        <f t="shared" si="22"/>
        <v>1.9512561800578766E-6</v>
      </c>
      <c r="L88" s="386">
        <f t="shared" si="22"/>
        <v>1.8779682374715034E-6</v>
      </c>
      <c r="M88" s="386">
        <f t="shared" si="22"/>
        <v>1.8099863017717851E-6</v>
      </c>
      <c r="N88" s="386">
        <f t="shared" si="22"/>
        <v>1.7467542755458009E-6</v>
      </c>
      <c r="O88" s="386">
        <f t="shared" si="22"/>
        <v>1.6877911474838842E-6</v>
      </c>
      <c r="P88" s="386">
        <f t="shared" si="22"/>
        <v>1.6326787332312272E-6</v>
      </c>
      <c r="Q88" s="386">
        <f t="shared" si="22"/>
        <v>1.5810517421212363E-6</v>
      </c>
      <c r="R88" s="386">
        <f t="shared" si="22"/>
        <v>1.5325896707435155E-6</v>
      </c>
      <c r="S88" s="386">
        <f t="shared" si="22"/>
        <v>1.4870101430334379E-6</v>
      </c>
      <c r="T88" s="386">
        <f t="shared" si="22"/>
        <v>1.4440634044416746E-6</v>
      </c>
      <c r="U88" s="386">
        <f t="shared" si="22"/>
        <v>1.4035277434140186E-6</v>
      </c>
      <c r="V88" s="386">
        <f t="shared" si="22"/>
        <v>1.3652056629458113E-6</v>
      </c>
      <c r="W88" s="386">
        <f t="shared" si="22"/>
        <v>1.3289206626604173E-6</v>
      </c>
      <c r="X88" s="386">
        <f t="shared" si="22"/>
        <v>1.2945145207652396E-6</v>
      </c>
      <c r="Y88" s="386">
        <f t="shared" si="22"/>
        <v>1.261844987577755E-6</v>
      </c>
      <c r="Z88" s="386">
        <f t="shared" si="22"/>
        <v>1.2307838197040481E-6</v>
      </c>
      <c r="AA88" s="386">
        <f t="shared" si="22"/>
        <v>1.201215097582278E-6</v>
      </c>
      <c r="AB88" s="386">
        <f t="shared" si="22"/>
        <v>1.1730337798555482E-6</v>
      </c>
      <c r="AC88" s="386">
        <f t="shared" si="22"/>
        <v>1.1461444565724745E-6</v>
      </c>
      <c r="AD88" s="386">
        <f t="shared" si="22"/>
        <v>1.1204602700264638E-6</v>
      </c>
      <c r="AE88" s="386">
        <f t="shared" si="22"/>
        <v>1.0959019775135171E-6</v>
      </c>
      <c r="AF88" s="386">
        <f t="shared" si="22"/>
        <v>1.0723971347015325E-6</v>
      </c>
      <c r="AG88" s="386">
        <f t="shared" si="22"/>
        <v>1.0498793818832561E-6</v>
      </c>
      <c r="AH88" s="386">
        <f t="shared" si="22"/>
        <v>1.0282878183017223E-6</v>
      </c>
      <c r="AI88" s="386">
        <f t="shared" si="22"/>
        <v>1.0075664521247353E-6</v>
      </c>
      <c r="AJ88" s="386">
        <f t="shared" si="22"/>
        <v>9.876637156081818E-7</v>
      </c>
      <c r="AK88" s="386">
        <f t="shared" si="22"/>
        <v>9.685320366089272E-7</v>
      </c>
      <c r="AL88" s="386">
        <f t="shared" si="22"/>
        <v>9.5012745895179429E-7</v>
      </c>
      <c r="AM88" s="386">
        <f t="shared" si="22"/>
        <v>9.3240930527334679E-7</v>
      </c>
      <c r="AN88" s="386">
        <f t="shared" si="22"/>
        <v>9.1533987689917573E-7</v>
      </c>
      <c r="AO88" s="386">
        <f t="shared" si="22"/>
        <v>8.9888418609425317E-7</v>
      </c>
      <c r="AP88" s="386">
        <f t="shared" si="22"/>
        <v>8.8300971668435047E-7</v>
      </c>
      <c r="AQ88" s="386">
        <f t="shared" si="22"/>
        <v>8.6768620960211689E-7</v>
      </c>
      <c r="AR88" s="386">
        <f t="shared" si="22"/>
        <v>8.5288547038171237E-7</v>
      </c>
      <c r="AS88" s="386">
        <f t="shared" si="22"/>
        <v>8.38581196025208E-7</v>
      </c>
      <c r="AT88" s="386">
        <f t="shared" si="22"/>
        <v>8.2474881900399299E-7</v>
      </c>
      <c r="AU88" s="386">
        <f t="shared" si="22"/>
        <v>8.1136536644880519E-7</v>
      </c>
      <c r="AV88" s="386">
        <f t="shared" si="22"/>
        <v>7.984093328306396E-7</v>
      </c>
      <c r="AW88" s="386">
        <f t="shared" si="22"/>
        <v>7.9208525026852085E-7</v>
      </c>
      <c r="AX88" s="386">
        <f t="shared" si="22"/>
        <v>7.8586056464826497E-7</v>
      </c>
      <c r="AY88" s="386">
        <f t="shared" si="22"/>
        <v>7.7973295087774849E-7</v>
      </c>
      <c r="AZ88" s="386">
        <f t="shared" si="22"/>
        <v>7.7370015582181342E-7</v>
      </c>
      <c r="BA88" s="386">
        <f t="shared" si="22"/>
        <v>7.677599955399831E-7</v>
      </c>
      <c r="BB88" s="386">
        <f t="shared" si="22"/>
        <v>7.6191035265045527E-7</v>
      </c>
      <c r="BC88" s="386">
        <f t="shared" si="22"/>
        <v>7.5614917381368782E-7</v>
      </c>
      <c r="BD88" s="386">
        <f t="shared" si="22"/>
        <v>7.5047446732929462E-7</v>
      </c>
      <c r="BE88" s="386">
        <f t="shared" si="22"/>
        <v>7.4766893510025453E-7</v>
      </c>
      <c r="BF88" s="386">
        <f t="shared" si="22"/>
        <v>7.4488430084034358E-7</v>
      </c>
      <c r="BG88" s="386">
        <f t="shared" si="22"/>
        <v>7.4432986121208002E-7</v>
      </c>
      <c r="BH88" s="386">
        <f t="shared" si="22"/>
        <v>7.4377624634186747E-7</v>
      </c>
      <c r="BI88" s="386">
        <f t="shared" si="22"/>
        <v>7.4322345439076752E-7</v>
      </c>
      <c r="BJ88" s="386">
        <f t="shared" si="22"/>
        <v>7.4267148352530432E-7</v>
      </c>
      <c r="BK88" s="386">
        <f t="shared" si="22"/>
        <v>7.421203319174449E-7</v>
      </c>
      <c r="BL88" s="386">
        <f t="shared" si="22"/>
        <v>7.4156999774457873E-7</v>
      </c>
      <c r="BM88" s="386">
        <f t="shared" si="22"/>
        <v>7.4102047918949741E-7</v>
      </c>
      <c r="BN88" s="386">
        <f t="shared" si="22"/>
        <v>7.4047177444037533E-7</v>
      </c>
      <c r="BO88" s="386">
        <f t="shared" si="23"/>
        <v>7.3992388169074904E-7</v>
      </c>
      <c r="BP88" s="386"/>
    </row>
    <row r="89" spans="2:68">
      <c r="B89" s="359" t="s">
        <v>5</v>
      </c>
      <c r="C89" s="386">
        <f t="shared" si="22"/>
        <v>48.321046046207719</v>
      </c>
      <c r="D89" s="386">
        <f t="shared" si="22"/>
        <v>21.699522751429605</v>
      </c>
      <c r="E89" s="386">
        <f t="shared" si="22"/>
        <v>13.734513896741319</v>
      </c>
      <c r="F89" s="386">
        <f t="shared" si="22"/>
        <v>10.046758895080593</v>
      </c>
      <c r="G89" s="386">
        <f t="shared" si="22"/>
        <v>7.9201710446766178</v>
      </c>
      <c r="H89" s="386">
        <f t="shared" si="22"/>
        <v>6.5365795090967929</v>
      </c>
      <c r="I89" s="386">
        <f t="shared" si="22"/>
        <v>5.5645043940650458</v>
      </c>
      <c r="J89" s="386">
        <f t="shared" si="22"/>
        <v>4.8441201814827242</v>
      </c>
      <c r="K89" s="386">
        <f t="shared" si="22"/>
        <v>4.2888792025255675</v>
      </c>
      <c r="L89" s="386">
        <f t="shared" si="22"/>
        <v>3.8478341573289105</v>
      </c>
      <c r="M89" s="386">
        <f t="shared" si="22"/>
        <v>3.4890402103337497</v>
      </c>
      <c r="N89" s="386">
        <f t="shared" si="22"/>
        <v>3.1914511491558262</v>
      </c>
      <c r="O89" s="386">
        <f t="shared" si="22"/>
        <v>2.9406368013088446</v>
      </c>
      <c r="P89" s="386">
        <f t="shared" si="22"/>
        <v>2.7263727062768663</v>
      </c>
      <c r="Q89" s="386">
        <f t="shared" si="22"/>
        <v>2.5412119675329534</v>
      </c>
      <c r="R89" s="386">
        <f t="shared" si="22"/>
        <v>2.3796020481902906</v>
      </c>
      <c r="S89" s="386">
        <f t="shared" si="22"/>
        <v>2.2373184234560624</v>
      </c>
      <c r="T89" s="386">
        <f t="shared" si="22"/>
        <v>2.1110899514869748</v>
      </c>
      <c r="U89" s="386">
        <f t="shared" si="22"/>
        <v>1.9983442897523627</v>
      </c>
      <c r="V89" s="386">
        <f t="shared" si="22"/>
        <v>1.8970307538137403</v>
      </c>
      <c r="W89" s="386">
        <f t="shared" si="22"/>
        <v>1.8054944610418788</v>
      </c>
      <c r="X89" s="386">
        <f t="shared" si="22"/>
        <v>1.7223852342910524</v>
      </c>
      <c r="Y89" s="386">
        <f t="shared" si="22"/>
        <v>1.6465905580896776</v>
      </c>
      <c r="Z89" s="386">
        <f t="shared" si="22"/>
        <v>1.5771854905219551</v>
      </c>
      <c r="AA89" s="386">
        <f t="shared" si="22"/>
        <v>1.5133947302776967</v>
      </c>
      <c r="AB89" s="386">
        <f t="shared" si="22"/>
        <v>1.454563531258825</v>
      </c>
      <c r="AC89" s="386">
        <f t="shared" si="22"/>
        <v>1.4001351472724552</v>
      </c>
      <c r="AD89" s="386">
        <f t="shared" si="22"/>
        <v>1.349633158057904</v>
      </c>
      <c r="AE89" s="386">
        <f t="shared" si="22"/>
        <v>1.3026474870879046</v>
      </c>
      <c r="AF89" s="386">
        <f t="shared" si="22"/>
        <v>1.2588232417418712</v>
      </c>
      <c r="AG89" s="386">
        <f t="shared" si="22"/>
        <v>1.2178517328237721</v>
      </c>
      <c r="AH89" s="386">
        <f t="shared" si="22"/>
        <v>1.1794631925507975</v>
      </c>
      <c r="AI89" s="386">
        <f t="shared" si="22"/>
        <v>1.1434208276964104</v>
      </c>
      <c r="AJ89" s="386">
        <f t="shared" si="22"/>
        <v>1.1095159307563125</v>
      </c>
      <c r="AK89" s="386">
        <f t="shared" si="22"/>
        <v>1.0775638358530064</v>
      </c>
      <c r="AL89" s="386">
        <f t="shared" si="22"/>
        <v>1.0474005538568683</v>
      </c>
      <c r="AM89" s="386">
        <f t="shared" si="22"/>
        <v>1.0188799572588183</v>
      </c>
      <c r="AN89" s="386">
        <f t="shared" si="22"/>
        <v>0.99187141278459701</v>
      </c>
      <c r="AO89" s="386">
        <f t="shared" si="22"/>
        <v>0.9662577808147339</v>
      </c>
      <c r="AP89" s="386">
        <f t="shared" si="22"/>
        <v>0.9419337169737978</v>
      </c>
      <c r="AQ89" s="386">
        <f t="shared" si="22"/>
        <v>0.91880422394986194</v>
      </c>
      <c r="AR89" s="386">
        <f t="shared" si="22"/>
        <v>0.89678341156363384</v>
      </c>
      <c r="AS89" s="386">
        <f t="shared" si="22"/>
        <v>0.87579343096742246</v>
      </c>
      <c r="AT89" s="386">
        <f t="shared" si="22"/>
        <v>0.85576355509682855</v>
      </c>
      <c r="AU89" s="386">
        <f t="shared" si="22"/>
        <v>0.83662938248452001</v>
      </c>
      <c r="AV89" s="386">
        <f t="shared" si="22"/>
        <v>0.81833214555043365</v>
      </c>
      <c r="AW89" s="386">
        <f t="shared" si="22"/>
        <v>0.80948040363880336</v>
      </c>
      <c r="AX89" s="386">
        <f t="shared" si="22"/>
        <v>0.80081810771628803</v>
      </c>
      <c r="AY89" s="386">
        <f t="shared" si="22"/>
        <v>0.79233924035871495</v>
      </c>
      <c r="AZ89" s="386">
        <f t="shared" si="22"/>
        <v>0.78403803631604752</v>
      </c>
      <c r="BA89" s="386">
        <f t="shared" si="22"/>
        <v>0.77590896943941967</v>
      </c>
      <c r="BB89" s="386">
        <f t="shared" si="22"/>
        <v>0.76794674041308464</v>
      </c>
      <c r="BC89" s="386">
        <f t="shared" si="22"/>
        <v>0.76014626523404472</v>
      </c>
      <c r="BD89" s="386">
        <f t="shared" si="22"/>
        <v>0.75250266438673508</v>
      </c>
      <c r="BE89" s="386">
        <f t="shared" si="22"/>
        <v>0.74873822038595239</v>
      </c>
      <c r="BF89" s="386">
        <f t="shared" si="22"/>
        <v>0.74501125266432533</v>
      </c>
      <c r="BG89" s="386">
        <f t="shared" si="22"/>
        <v>0.74427030707476971</v>
      </c>
      <c r="BH89" s="386">
        <f t="shared" si="22"/>
        <v>0.74353083382513607</v>
      </c>
      <c r="BI89" s="386">
        <f t="shared" si="22"/>
        <v>0.74279282853122963</v>
      </c>
      <c r="BJ89" s="386">
        <f t="shared" si="22"/>
        <v>0.74205628682624503</v>
      </c>
      <c r="BK89" s="386">
        <f t="shared" si="22"/>
        <v>0.74132120436067939</v>
      </c>
      <c r="BL89" s="386">
        <f t="shared" si="22"/>
        <v>0.74058757680224796</v>
      </c>
      <c r="BM89" s="386">
        <f t="shared" si="22"/>
        <v>0.73985539983579796</v>
      </c>
      <c r="BN89" s="386">
        <f t="shared" ref="BN89:CT92" si="24">$E17*($C17-1)/(1+BN$83*($C17-1))</f>
        <v>0.73912466916322461</v>
      </c>
      <c r="BO89" s="386">
        <f t="shared" si="24"/>
        <v>0.73839538050338627</v>
      </c>
      <c r="BP89" s="386"/>
    </row>
    <row r="90" spans="2:68">
      <c r="B90" s="359" t="s">
        <v>338</v>
      </c>
      <c r="C90" s="386">
        <f t="shared" ref="C90:BN93" si="25">$E18*($C18-1)/(1+C$83*($C18-1))</f>
        <v>0.90518320928882945</v>
      </c>
      <c r="D90" s="386">
        <f t="shared" si="25"/>
        <v>0.77636954291154914</v>
      </c>
      <c r="E90" s="386">
        <f t="shared" si="25"/>
        <v>0.67522339894586458</v>
      </c>
      <c r="F90" s="386">
        <f t="shared" si="25"/>
        <v>0.59739431379090924</v>
      </c>
      <c r="G90" s="386">
        <f t="shared" si="25"/>
        <v>0.53565273016857318</v>
      </c>
      <c r="H90" s="386">
        <f t="shared" si="25"/>
        <v>0.48547787554143834</v>
      </c>
      <c r="I90" s="386">
        <f t="shared" si="25"/>
        <v>0.44389775459428898</v>
      </c>
      <c r="J90" s="386">
        <f t="shared" si="25"/>
        <v>0.40887822648321487</v>
      </c>
      <c r="K90" s="386">
        <f t="shared" si="25"/>
        <v>0.3789801145056102</v>
      </c>
      <c r="L90" s="386">
        <f t="shared" si="25"/>
        <v>0.35315650254758763</v>
      </c>
      <c r="M90" s="386">
        <f t="shared" si="25"/>
        <v>0.33062761784113559</v>
      </c>
      <c r="N90" s="386">
        <f t="shared" si="25"/>
        <v>0.31080073147338078</v>
      </c>
      <c r="O90" s="386">
        <f t="shared" si="25"/>
        <v>0.29321724856210168</v>
      </c>
      <c r="P90" s="386">
        <f t="shared" si="25"/>
        <v>0.27751679691571213</v>
      </c>
      <c r="Q90" s="386">
        <f t="shared" si="25"/>
        <v>0.26341226665378353</v>
      </c>
      <c r="R90" s="386">
        <f t="shared" si="25"/>
        <v>0.2506720932160626</v>
      </c>
      <c r="S90" s="386">
        <f t="shared" si="25"/>
        <v>0.23910744456580638</v>
      </c>
      <c r="T90" s="386">
        <f t="shared" si="25"/>
        <v>0.22856279866155779</v>
      </c>
      <c r="U90" s="386">
        <f t="shared" si="25"/>
        <v>0.21890890882537686</v>
      </c>
      <c r="V90" s="386">
        <f t="shared" si="25"/>
        <v>0.21003747960987579</v>
      </c>
      <c r="W90" s="386">
        <f t="shared" si="25"/>
        <v>0.20185708682888484</v>
      </c>
      <c r="X90" s="386">
        <f t="shared" si="25"/>
        <v>0.19429001526964454</v>
      </c>
      <c r="Y90" s="386">
        <f t="shared" si="25"/>
        <v>0.18726978197799832</v>
      </c>
      <c r="Z90" s="386">
        <f t="shared" si="25"/>
        <v>0.18073917776208329</v>
      </c>
      <c r="AA90" s="386">
        <f t="shared" si="25"/>
        <v>0.17464870467554852</v>
      </c>
      <c r="AB90" s="386">
        <f t="shared" si="25"/>
        <v>0.16895531912034847</v>
      </c>
      <c r="AC90" s="386">
        <f t="shared" si="25"/>
        <v>0.16362141303041011</v>
      </c>
      <c r="AD90" s="386">
        <f t="shared" si="25"/>
        <v>0.1586139821329795</v>
      </c>
      <c r="AE90" s="386">
        <f t="shared" si="25"/>
        <v>0.15390394240076707</v>
      </c>
      <c r="AF90" s="386">
        <f t="shared" si="25"/>
        <v>0.14946556477956155</v>
      </c>
      <c r="AG90" s="386">
        <f t="shared" si="25"/>
        <v>0.14527600498426238</v>
      </c>
      <c r="AH90" s="386">
        <f t="shared" si="25"/>
        <v>0.1413149102183848</v>
      </c>
      <c r="AI90" s="386">
        <f t="shared" si="25"/>
        <v>0.13756408852496083</v>
      </c>
      <c r="AJ90" s="386">
        <f t="shared" si="25"/>
        <v>0.13400722943304788</v>
      </c>
      <c r="AK90" s="386">
        <f t="shared" si="25"/>
        <v>0.130629666849745</v>
      </c>
      <c r="AL90" s="386">
        <f t="shared" si="25"/>
        <v>0.12741817692756713</v>
      </c>
      <c r="AM90" s="386">
        <f t="shared" si="25"/>
        <v>0.12436080503259403</v>
      </c>
      <c r="AN90" s="386">
        <f t="shared" si="25"/>
        <v>0.12144671704006132</v>
      </c>
      <c r="AO90" s="386">
        <f t="shared" si="25"/>
        <v>0.11866607105838217</v>
      </c>
      <c r="AP90" s="386">
        <f t="shared" si="25"/>
        <v>0.11600990638077895</v>
      </c>
      <c r="AQ90" s="386">
        <f t="shared" si="25"/>
        <v>0.11347004702431898</v>
      </c>
      <c r="AR90" s="386">
        <f t="shared" si="25"/>
        <v>0.11103901766866892</v>
      </c>
      <c r="AS90" s="386">
        <f t="shared" si="25"/>
        <v>0.10870997017397512</v>
      </c>
      <c r="AT90" s="386">
        <f t="shared" si="25"/>
        <v>0.10647661915649864</v>
      </c>
      <c r="AU90" s="386">
        <f t="shared" si="25"/>
        <v>0.10433318534564077</v>
      </c>
      <c r="AV90" s="386">
        <f t="shared" si="25"/>
        <v>0.10227434564749079</v>
      </c>
      <c r="AW90" s="386">
        <f t="shared" si="25"/>
        <v>0.10127509889133747</v>
      </c>
      <c r="AX90" s="386">
        <f t="shared" si="25"/>
        <v>0.1002951890064296</v>
      </c>
      <c r="AY90" s="386">
        <f t="shared" si="25"/>
        <v>9.9334060076978731E-2</v>
      </c>
      <c r="AZ90" s="386">
        <f t="shared" si="25"/>
        <v>9.8391177294293988E-2</v>
      </c>
      <c r="BA90" s="386">
        <f t="shared" si="25"/>
        <v>9.746602596445432E-2</v>
      </c>
      <c r="BB90" s="386">
        <f t="shared" si="25"/>
        <v>9.6558110571443201E-2</v>
      </c>
      <c r="BC90" s="386">
        <f t="shared" si="25"/>
        <v>9.5666953892162426E-2</v>
      </c>
      <c r="BD90" s="386">
        <f t="shared" si="25"/>
        <v>9.4792096160004197E-2</v>
      </c>
      <c r="BE90" s="386">
        <f t="shared" si="25"/>
        <v>9.4360640299756479E-2</v>
      </c>
      <c r="BF90" s="386">
        <f t="shared" si="25"/>
        <v>9.393309427390148E-2</v>
      </c>
      <c r="BG90" s="386">
        <f t="shared" si="25"/>
        <v>9.3848049576232828E-2</v>
      </c>
      <c r="BH90" s="386">
        <f t="shared" si="25"/>
        <v>9.3763158733994226E-2</v>
      </c>
      <c r="BI90" s="386">
        <f t="shared" si="25"/>
        <v>9.3678421330050304E-2</v>
      </c>
      <c r="BJ90" s="386">
        <f t="shared" si="25"/>
        <v>9.3593836948772255E-2</v>
      </c>
      <c r="BK90" s="386">
        <f t="shared" si="25"/>
        <v>9.3509405176031068E-2</v>
      </c>
      <c r="BL90" s="386">
        <f t="shared" si="25"/>
        <v>9.3425125599190695E-2</v>
      </c>
      <c r="BM90" s="386">
        <f t="shared" si="25"/>
        <v>9.3340997807101436E-2</v>
      </c>
      <c r="BN90" s="386">
        <f t="shared" si="25"/>
        <v>9.3257021390093162E-2</v>
      </c>
      <c r="BO90" s="386">
        <f t="shared" si="24"/>
        <v>9.3173195939968659E-2</v>
      </c>
      <c r="BP90" s="386"/>
    </row>
    <row r="91" spans="2:68">
      <c r="B91" s="359" t="s">
        <v>7</v>
      </c>
      <c r="C91" s="386">
        <f t="shared" si="25"/>
        <v>6.5584153729706079E-2</v>
      </c>
      <c r="D91" s="386">
        <f t="shared" si="25"/>
        <v>6.3962320374769885E-2</v>
      </c>
      <c r="E91" s="386">
        <f t="shared" si="25"/>
        <v>6.2339585339162742E-2</v>
      </c>
      <c r="F91" s="386">
        <f t="shared" si="25"/>
        <v>6.0797151188545652E-2</v>
      </c>
      <c r="G91" s="386">
        <f t="shared" si="25"/>
        <v>5.9329201317792957E-2</v>
      </c>
      <c r="H91" s="386">
        <f t="shared" si="25"/>
        <v>5.7930467646368063E-2</v>
      </c>
      <c r="I91" s="386">
        <f t="shared" si="25"/>
        <v>5.6596167448069654E-2</v>
      </c>
      <c r="J91" s="386">
        <f t="shared" si="25"/>
        <v>5.5321948714153114E-2</v>
      </c>
      <c r="K91" s="386">
        <f t="shared" si="25"/>
        <v>5.4103842734582387E-2</v>
      </c>
      <c r="L91" s="386">
        <f t="shared" si="25"/>
        <v>5.2938222808854511E-2</v>
      </c>
      <c r="M91" s="386">
        <f t="shared" si="25"/>
        <v>5.1821768181497793E-2</v>
      </c>
      <c r="N91" s="386">
        <f t="shared" si="25"/>
        <v>5.0751432446864725E-2</v>
      </c>
      <c r="O91" s="386">
        <f t="shared" si="25"/>
        <v>4.9724415790128394E-2</v>
      </c>
      <c r="P91" s="386">
        <f t="shared" si="25"/>
        <v>4.87381405318493E-2</v>
      </c>
      <c r="Q91" s="386">
        <f t="shared" si="25"/>
        <v>4.7790229526353319E-2</v>
      </c>
      <c r="R91" s="386">
        <f t="shared" si="25"/>
        <v>4.6878487032805394E-2</v>
      </c>
      <c r="S91" s="386">
        <f t="shared" si="25"/>
        <v>4.6000881734942337E-2</v>
      </c>
      <c r="T91" s="386">
        <f t="shared" si="25"/>
        <v>4.5155531633065765E-2</v>
      </c>
      <c r="U91" s="386">
        <f t="shared" si="25"/>
        <v>4.4340690571798139E-2</v>
      </c>
      <c r="V91" s="386">
        <f t="shared" si="25"/>
        <v>4.3554736200640362E-2</v>
      </c>
      <c r="W91" s="386">
        <f t="shared" si="25"/>
        <v>4.2796159192648973E-2</v>
      </c>
      <c r="X91" s="386">
        <f t="shared" si="25"/>
        <v>4.2063553570473131E-2</v>
      </c>
      <c r="Y91" s="386">
        <f t="shared" si="25"/>
        <v>4.1355608009290369E-2</v>
      </c>
      <c r="Z91" s="386">
        <f t="shared" si="25"/>
        <v>4.0671098003455142E-2</v>
      </c>
      <c r="AA91" s="386">
        <f t="shared" si="25"/>
        <v>4.0008878798417385E-2</v>
      </c>
      <c r="AB91" s="386">
        <f t="shared" si="25"/>
        <v>3.9367879002086097E-2</v>
      </c>
      <c r="AC91" s="386">
        <f t="shared" si="25"/>
        <v>3.8747094800639759E-2</v>
      </c>
      <c r="AD91" s="386">
        <f t="shared" si="25"/>
        <v>3.8145584713099347E-2</v>
      </c>
      <c r="AE91" s="386">
        <f t="shared" si="25"/>
        <v>3.7562464827012899E-2</v>
      </c>
      <c r="AF91" s="386">
        <f t="shared" si="25"/>
        <v>3.699690446454431E-2</v>
      </c>
      <c r="AG91" s="386">
        <f t="shared" si="25"/>
        <v>3.6448122234276709E-2</v>
      </c>
      <c r="AH91" s="386">
        <f t="shared" si="25"/>
        <v>3.5915382429265848E-2</v>
      </c>
      <c r="AI91" s="386">
        <f t="shared" si="25"/>
        <v>3.5397991736427742E-2</v>
      </c>
      <c r="AJ91" s="386">
        <f t="shared" si="25"/>
        <v>3.4895296226310879E-2</v>
      </c>
      <c r="AK91" s="386">
        <f t="shared" si="25"/>
        <v>3.4406678595770873E-2</v>
      </c>
      <c r="AL91" s="386">
        <f t="shared" si="25"/>
        <v>3.3931555639101066E-2</v>
      </c>
      <c r="AM91" s="386">
        <f t="shared" si="25"/>
        <v>3.346937592583657E-2</v>
      </c>
      <c r="AN91" s="386">
        <f t="shared" si="25"/>
        <v>3.301961766579109E-2</v>
      </c>
      <c r="AO91" s="386">
        <f t="shared" si="25"/>
        <v>3.2581786743947731E-2</v>
      </c>
      <c r="AP91" s="386">
        <f t="shared" si="25"/>
        <v>3.2155414909644783E-2</v>
      </c>
      <c r="AQ91" s="386">
        <f t="shared" si="25"/>
        <v>3.1740058106104967E-2</v>
      </c>
      <c r="AR91" s="386">
        <f t="shared" si="25"/>
        <v>3.1335294927780179E-2</v>
      </c>
      <c r="AS91" s="386">
        <f t="shared" si="25"/>
        <v>3.0940725194245632E-2</v>
      </c>
      <c r="AT91" s="386">
        <f t="shared" si="25"/>
        <v>3.0555968630498181E-2</v>
      </c>
      <c r="AU91" s="386">
        <f t="shared" si="25"/>
        <v>3.0180663644510358E-2</v>
      </c>
      <c r="AV91" s="386">
        <f t="shared" si="25"/>
        <v>2.9814466193779809E-2</v>
      </c>
      <c r="AW91" s="386">
        <f t="shared" si="25"/>
        <v>2.9634679819119499E-2</v>
      </c>
      <c r="AX91" s="386">
        <f t="shared" si="25"/>
        <v>2.945704873340595E-2</v>
      </c>
      <c r="AY91" s="386">
        <f t="shared" si="25"/>
        <v>2.9281534410979384E-2</v>
      </c>
      <c r="AZ91" s="386">
        <f t="shared" si="25"/>
        <v>2.9108099238933354E-2</v>
      </c>
      <c r="BA91" s="386">
        <f t="shared" si="25"/>
        <v>2.8936706490242593E-2</v>
      </c>
      <c r="BB91" s="386">
        <f t="shared" si="25"/>
        <v>2.8767320297834721E-2</v>
      </c>
      <c r="BC91" s="386">
        <f t="shared" si="25"/>
        <v>2.8599905629567261E-2</v>
      </c>
      <c r="BD91" s="386">
        <f t="shared" si="25"/>
        <v>2.8434428264073365E-2</v>
      </c>
      <c r="BE91" s="386">
        <f t="shared" si="25"/>
        <v>2.8352405591630225E-2</v>
      </c>
      <c r="BF91" s="386">
        <f t="shared" si="25"/>
        <v>2.8270854767441254E-2</v>
      </c>
      <c r="BG91" s="386">
        <f t="shared" si="25"/>
        <v>2.8254600866301681E-2</v>
      </c>
      <c r="BH91" s="386">
        <f t="shared" si="25"/>
        <v>2.8238365644292968E-2</v>
      </c>
      <c r="BI91" s="386">
        <f t="shared" si="25"/>
        <v>2.8222149069234266E-2</v>
      </c>
      <c r="BJ91" s="386">
        <f t="shared" si="25"/>
        <v>2.820595110901861E-2</v>
      </c>
      <c r="BK91" s="386">
        <f t="shared" si="25"/>
        <v>2.8189771731612693E-2</v>
      </c>
      <c r="BL91" s="386">
        <f t="shared" si="25"/>
        <v>2.8173610905056677E-2</v>
      </c>
      <c r="BM91" s="386">
        <f t="shared" si="25"/>
        <v>2.8157468597463965E-2</v>
      </c>
      <c r="BN91" s="386">
        <f t="shared" si="25"/>
        <v>2.8141344777020995E-2</v>
      </c>
      <c r="BO91" s="386">
        <f t="shared" si="24"/>
        <v>2.8125239411987031E-2</v>
      </c>
      <c r="BP91" s="386"/>
    </row>
    <row r="92" spans="2:68">
      <c r="B92" s="359" t="s">
        <v>8</v>
      </c>
      <c r="C92" s="386">
        <f t="shared" si="25"/>
        <v>-7.902258248622695E-4</v>
      </c>
      <c r="D92" s="386">
        <f t="shared" si="25"/>
        <v>-7.9206399095251077E-4</v>
      </c>
      <c r="E92" s="386">
        <f t="shared" si="25"/>
        <v>-7.9400816389293115E-4</v>
      </c>
      <c r="F92" s="386">
        <f t="shared" si="25"/>
        <v>-7.9596190451748281E-4</v>
      </c>
      <c r="G92" s="386">
        <f t="shared" si="25"/>
        <v>-7.9792528362725938E-4</v>
      </c>
      <c r="H92" s="386">
        <f t="shared" si="25"/>
        <v>-7.9989837272365528E-4</v>
      </c>
      <c r="I92" s="386">
        <f t="shared" si="25"/>
        <v>-8.0188124401704512E-4</v>
      </c>
      <c r="J92" s="386">
        <f t="shared" si="25"/>
        <v>-8.0387397043559308E-4</v>
      </c>
      <c r="K92" s="386">
        <f t="shared" si="25"/>
        <v>-8.0587662563419437E-4</v>
      </c>
      <c r="L92" s="386">
        <f t="shared" si="25"/>
        <v>-8.0788928400354952E-4</v>
      </c>
      <c r="M92" s="386">
        <f t="shared" si="25"/>
        <v>-8.0991202067937605E-4</v>
      </c>
      <c r="N92" s="386">
        <f t="shared" si="25"/>
        <v>-8.1194491155175876E-4</v>
      </c>
      <c r="O92" s="386">
        <f t="shared" si="25"/>
        <v>-8.1398803327463996E-4</v>
      </c>
      <c r="P92" s="386">
        <f t="shared" si="25"/>
        <v>-8.1604146327545553E-4</v>
      </c>
      <c r="Q92" s="386">
        <f t="shared" si="25"/>
        <v>-8.1810527976491497E-4</v>
      </c>
      <c r="R92" s="386">
        <f t="shared" si="25"/>
        <v>-8.2017956174693194E-4</v>
      </c>
      <c r="S92" s="386">
        <f t="shared" si="25"/>
        <v>-8.2226438902870483E-4</v>
      </c>
      <c r="T92" s="386">
        <f t="shared" si="25"/>
        <v>-8.2435984223095293E-4</v>
      </c>
      <c r="U92" s="386">
        <f t="shared" si="25"/>
        <v>-8.2646600279830844E-4</v>
      </c>
      <c r="V92" s="386">
        <f t="shared" si="25"/>
        <v>-8.2858295300986841E-4</v>
      </c>
      <c r="W92" s="386">
        <f t="shared" si="25"/>
        <v>-8.307107759899095E-4</v>
      </c>
      <c r="X92" s="386">
        <f t="shared" si="25"/>
        <v>-8.3284955571876829E-4</v>
      </c>
      <c r="Y92" s="386">
        <f t="shared" si="25"/>
        <v>-8.3499937704388971E-4</v>
      </c>
      <c r="Z92" s="386">
        <f t="shared" si="25"/>
        <v>-8.3716032569104704E-4</v>
      </c>
      <c r="AA92" s="386">
        <f t="shared" si="25"/>
        <v>-8.3933248827573769E-4</v>
      </c>
      <c r="AB92" s="386">
        <f t="shared" si="25"/>
        <v>-8.4151595231475498E-4</v>
      </c>
      <c r="AC92" s="386">
        <f t="shared" si="25"/>
        <v>-8.4371080623794274E-4</v>
      </c>
      <c r="AD92" s="386">
        <f t="shared" si="25"/>
        <v>-8.4591713940013289E-4</v>
      </c>
      <c r="AE92" s="386">
        <f t="shared" si="25"/>
        <v>-8.481350420932722E-4</v>
      </c>
      <c r="AF92" s="386">
        <f t="shared" si="25"/>
        <v>-8.5036460555873948E-4</v>
      </c>
      <c r="AG92" s="386">
        <f t="shared" si="25"/>
        <v>-8.5260592199985731E-4</v>
      </c>
      <c r="AH92" s="386">
        <f t="shared" si="25"/>
        <v>-8.5485908459460337E-4</v>
      </c>
      <c r="AI92" s="386">
        <f t="shared" si="25"/>
        <v>-8.5712418750852218E-4</v>
      </c>
      <c r="AJ92" s="386">
        <f t="shared" si="25"/>
        <v>-8.5940132590784399E-4</v>
      </c>
      <c r="AK92" s="386">
        <f t="shared" si="25"/>
        <v>-8.6169059597281323E-4</v>
      </c>
      <c r="AL92" s="386">
        <f t="shared" si="25"/>
        <v>-8.6399209491122933E-4</v>
      </c>
      <c r="AM92" s="386">
        <f t="shared" si="25"/>
        <v>-8.6630592097220675E-4</v>
      </c>
      <c r="AN92" s="386">
        <f t="shared" si="25"/>
        <v>-8.6863217346015579E-4</v>
      </c>
      <c r="AO92" s="386">
        <f t="shared" si="25"/>
        <v>-8.7097095274898939E-4</v>
      </c>
      <c r="AP92" s="386">
        <f t="shared" si="25"/>
        <v>-8.7332236029656E-4</v>
      </c>
      <c r="AQ92" s="386">
        <f t="shared" si="25"/>
        <v>-8.7568649865933114E-4</v>
      </c>
      <c r="AR92" s="386">
        <f t="shared" si="25"/>
        <v>-8.7806347150728775E-4</v>
      </c>
      <c r="AS92" s="386">
        <f t="shared" si="25"/>
        <v>-8.8045338363909045E-4</v>
      </c>
      <c r="AT92" s="386">
        <f t="shared" si="25"/>
        <v>-8.828563409974769E-4</v>
      </c>
      <c r="AU92" s="386">
        <f t="shared" si="25"/>
        <v>-8.8527245068491733E-4</v>
      </c>
      <c r="AV92" s="386">
        <f t="shared" si="25"/>
        <v>-8.8770182097952705E-4</v>
      </c>
      <c r="AW92" s="386">
        <f t="shared" si="25"/>
        <v>-8.8892151301687224E-4</v>
      </c>
      <c r="AX92" s="386">
        <f t="shared" si="25"/>
        <v>-8.9014456135124223E-4</v>
      </c>
      <c r="AY92" s="386">
        <f t="shared" si="25"/>
        <v>-8.9137097985529862E-4</v>
      </c>
      <c r="AZ92" s="386">
        <f t="shared" si="25"/>
        <v>-8.9260078247826221E-4</v>
      </c>
      <c r="BA92" s="386">
        <f t="shared" si="25"/>
        <v>-8.9383398324644175E-4</v>
      </c>
      <c r="BB92" s="386">
        <f t="shared" si="25"/>
        <v>-8.9507059626376707E-4</v>
      </c>
      <c r="BC92" s="386">
        <f t="shared" si="25"/>
        <v>-8.9631063571232706E-4</v>
      </c>
      <c r="BD92" s="386">
        <f t="shared" si="25"/>
        <v>-8.9755411585291131E-4</v>
      </c>
      <c r="BE92" s="386">
        <f t="shared" si="25"/>
        <v>-8.9817715066086367E-4</v>
      </c>
      <c r="BF92" s="386">
        <f t="shared" si="25"/>
        <v>-8.9880105102555744E-4</v>
      </c>
      <c r="BG92" s="386">
        <f t="shared" si="25"/>
        <v>-8.9892593512405487E-4</v>
      </c>
      <c r="BH92" s="386">
        <f t="shared" si="25"/>
        <v>-8.9905085393146892E-4</v>
      </c>
      <c r="BI92" s="386">
        <f t="shared" si="25"/>
        <v>-8.9917580746227163E-4</v>
      </c>
      <c r="BJ92" s="386">
        <f t="shared" si="25"/>
        <v>-8.9930079573094274E-4</v>
      </c>
      <c r="BK92" s="386">
        <f t="shared" si="25"/>
        <v>-8.9942581875197033E-4</v>
      </c>
      <c r="BL92" s="386">
        <f t="shared" si="25"/>
        <v>-8.9955087653985051E-4</v>
      </c>
      <c r="BM92" s="386">
        <f t="shared" si="25"/>
        <v>-8.9967596910908753E-4</v>
      </c>
      <c r="BN92" s="386">
        <f t="shared" si="25"/>
        <v>-8.9980109647419375E-4</v>
      </c>
      <c r="BO92" s="386">
        <f t="shared" si="24"/>
        <v>-8.9992625864968902E-4</v>
      </c>
      <c r="BP92" s="386"/>
    </row>
    <row r="93" spans="2:68">
      <c r="B93" s="359" t="s">
        <v>9</v>
      </c>
      <c r="C93" s="386">
        <f t="shared" si="25"/>
        <v>-5.4120468362633886E-3</v>
      </c>
      <c r="D93" s="386">
        <f t="shared" si="25"/>
        <v>-5.4513000174943663E-3</v>
      </c>
      <c r="E93" s="386">
        <f t="shared" si="25"/>
        <v>-5.4932390304390085E-3</v>
      </c>
      <c r="F93" s="386">
        <f t="shared" si="25"/>
        <v>-5.5358283533944964E-3</v>
      </c>
      <c r="G93" s="386">
        <f t="shared" si="25"/>
        <v>-5.5790832301929752E-3</v>
      </c>
      <c r="H93" s="386">
        <f t="shared" si="25"/>
        <v>-5.6230193848568573E-3</v>
      </c>
      <c r="I93" s="386">
        <f t="shared" si="25"/>
        <v>-5.667653040656773E-3</v>
      </c>
      <c r="J93" s="386">
        <f t="shared" si="25"/>
        <v>-5.7130009400844428E-3</v>
      </c>
      <c r="K93" s="386">
        <f t="shared" si="25"/>
        <v>-5.7590803657921151E-3</v>
      </c>
      <c r="L93" s="386">
        <f t="shared" si="25"/>
        <v>-5.8059091625535996E-3</v>
      </c>
      <c r="M93" s="386">
        <f t="shared" si="25"/>
        <v>-5.853505760305508E-3</v>
      </c>
      <c r="N93" s="386">
        <f t="shared" si="25"/>
        <v>-5.9018891983312173E-3</v>
      </c>
      <c r="O93" s="386">
        <f t="shared" si="25"/>
        <v>-5.951079150654205E-3</v>
      </c>
      <c r="P93" s="386">
        <f t="shared" si="25"/>
        <v>-6.0010959527119342E-3</v>
      </c>
      <c r="Q93" s="386">
        <f t="shared" si="25"/>
        <v>-6.051960629386231E-3</v>
      </c>
      <c r="R93" s="386">
        <f t="shared" si="25"/>
        <v>-6.1036949244713621E-3</v>
      </c>
      <c r="S93" s="386">
        <f t="shared" si="25"/>
        <v>-6.1563213316665494E-3</v>
      </c>
      <c r="T93" s="386">
        <f t="shared" si="25"/>
        <v>-6.2098631271857553E-3</v>
      </c>
      <c r="U93" s="386">
        <f t="shared" si="25"/>
        <v>-6.2643444040840412E-3</v>
      </c>
      <c r="V93" s="386">
        <f t="shared" si="25"/>
        <v>-6.3197901084068673E-3</v>
      </c>
      <c r="W93" s="386">
        <f t="shared" si="25"/>
        <v>-6.3762260772762779E-3</v>
      </c>
      <c r="X93" s="386">
        <f t="shared" si="25"/>
        <v>-6.4336790790361408E-3</v>
      </c>
      <c r="Y93" s="386">
        <f t="shared" si="25"/>
        <v>-6.4921768555874912E-3</v>
      </c>
      <c r="Z93" s="386">
        <f t="shared" si="25"/>
        <v>-6.551748167054664E-3</v>
      </c>
      <c r="AA93" s="386">
        <f t="shared" si="25"/>
        <v>-6.6124228389332828E-3</v>
      </c>
      <c r="AB93" s="386">
        <f t="shared" si="25"/>
        <v>-6.6742318118825378E-3</v>
      </c>
      <c r="AC93" s="386">
        <f t="shared" si="25"/>
        <v>-6.7372071943363676E-3</v>
      </c>
      <c r="AD93" s="386">
        <f t="shared" si="25"/>
        <v>-6.801382318121529E-3</v>
      </c>
      <c r="AE93" s="386">
        <f t="shared" si="25"/>
        <v>-6.8667917972849634E-3</v>
      </c>
      <c r="AF93" s="386">
        <f t="shared" si="25"/>
        <v>-6.9334715903486234E-3</v>
      </c>
      <c r="AG93" s="386">
        <f t="shared" si="25"/>
        <v>-7.0014590662269924E-3</v>
      </c>
      <c r="AH93" s="386">
        <f t="shared" si="25"/>
        <v>-7.0707930740612291E-3</v>
      </c>
      <c r="AI93" s="386">
        <f t="shared" si="25"/>
        <v>-7.1415140172441105E-3</v>
      </c>
      <c r="AJ93" s="386">
        <f t="shared" si="25"/>
        <v>-7.2136639319321889E-3</v>
      </c>
      <c r="AK93" s="386">
        <f t="shared" si="25"/>
        <v>-7.2872865703657082E-3</v>
      </c>
      <c r="AL93" s="386">
        <f t="shared" si="25"/>
        <v>-7.3624274893433024E-3</v>
      </c>
      <c r="AM93" s="386">
        <f t="shared" si="25"/>
        <v>-7.4391341442274416E-3</v>
      </c>
      <c r="AN93" s="386">
        <f t="shared" si="25"/>
        <v>-7.5174559888881868E-3</v>
      </c>
      <c r="AO93" s="386">
        <f t="shared" si="25"/>
        <v>-7.5974445820276067E-3</v>
      </c>
      <c r="AP93" s="386">
        <f t="shared" si="25"/>
        <v>-7.6791537003651844E-3</v>
      </c>
      <c r="AQ93" s="386">
        <f t="shared" si="25"/>
        <v>-7.7626394592063457E-3</v>
      </c>
      <c r="AR93" s="386">
        <f t="shared" si="25"/>
        <v>-7.8479604409621827E-3</v>
      </c>
      <c r="AS93" s="386">
        <f t="shared" si="25"/>
        <v>-7.9351778322389131E-3</v>
      </c>
      <c r="AT93" s="386">
        <f t="shared" si="25"/>
        <v>-8.0243555701712196E-3</v>
      </c>
      <c r="AU93" s="386">
        <f t="shared" si="25"/>
        <v>-8.1155604987349639E-3</v>
      </c>
      <c r="AV93" s="386">
        <f t="shared" si="25"/>
        <v>-8.2088625358423678E-3</v>
      </c>
      <c r="AW93" s="386">
        <f t="shared" si="25"/>
        <v>-8.2563227037132508E-3</v>
      </c>
      <c r="AX93" s="386">
        <f t="shared" si="25"/>
        <v>-8.3043348520974777E-3</v>
      </c>
      <c r="AY93" s="386">
        <f t="shared" si="25"/>
        <v>-8.3529086669481296E-3</v>
      </c>
      <c r="AZ93" s="386">
        <f t="shared" si="25"/>
        <v>-8.4020540621724121E-3</v>
      </c>
      <c r="BA93" s="386">
        <f t="shared" si="25"/>
        <v>-8.4517811863773322E-3</v>
      </c>
      <c r="BB93" s="386">
        <f t="shared" si="25"/>
        <v>-8.5021004298563331E-3</v>
      </c>
      <c r="BC93" s="386">
        <f t="shared" si="25"/>
        <v>-8.5530224318270103E-3</v>
      </c>
      <c r="BD93" s="386">
        <f t="shared" si="25"/>
        <v>-8.6045580879304997E-3</v>
      </c>
      <c r="BE93" s="386">
        <f t="shared" si="25"/>
        <v>-8.6305595131926111E-3</v>
      </c>
      <c r="BF93" s="386">
        <f t="shared" si="25"/>
        <v>-8.6567185580036145E-3</v>
      </c>
      <c r="BG93" s="386">
        <f t="shared" si="25"/>
        <v>-8.6619694075119515E-3</v>
      </c>
      <c r="BH93" s="386">
        <f t="shared" si="25"/>
        <v>-8.6672266308337239E-3</v>
      </c>
      <c r="BI93" s="386">
        <f t="shared" si="25"/>
        <v>-8.6724902395813892E-3</v>
      </c>
      <c r="BJ93" s="386">
        <f t="shared" si="25"/>
        <v>-8.6777602453956253E-3</v>
      </c>
      <c r="BK93" s="386">
        <f t="shared" si="25"/>
        <v>-8.6830366599454263E-3</v>
      </c>
      <c r="BL93" s="386">
        <f t="shared" si="25"/>
        <v>-8.6883194949281851E-3</v>
      </c>
      <c r="BM93" s="386">
        <f t="shared" si="25"/>
        <v>-8.6936087620697756E-3</v>
      </c>
      <c r="BN93" s="386">
        <f t="shared" ref="BN93:CT96" si="26">$E21*($C21-1)/(1+BN$83*($C21-1))</f>
        <v>-8.6989044731246457E-3</v>
      </c>
      <c r="BO93" s="386">
        <f t="shared" si="26"/>
        <v>-8.7042066398758996E-3</v>
      </c>
      <c r="BP93" s="386"/>
    </row>
    <row r="94" spans="2:68">
      <c r="B94" s="359" t="s">
        <v>124</v>
      </c>
      <c r="C94" s="386">
        <f t="shared" ref="C94:BN97" si="27">$E22*($C22-1)/(1+C$83*($C22-1))</f>
        <v>-2.4850375929694793E-3</v>
      </c>
      <c r="D94" s="386">
        <f t="shared" si="27"/>
        <v>-2.5210151571746784E-3</v>
      </c>
      <c r="E94" s="386">
        <f t="shared" si="27"/>
        <v>-2.5600291225696416E-3</v>
      </c>
      <c r="F94" s="386">
        <f t="shared" si="27"/>
        <v>-2.6002695897897293E-3</v>
      </c>
      <c r="G94" s="386">
        <f t="shared" si="27"/>
        <v>-2.6417953197231427E-3</v>
      </c>
      <c r="H94" s="386">
        <f t="shared" si="27"/>
        <v>-2.6846688877684957E-3</v>
      </c>
      <c r="I94" s="386">
        <f t="shared" si="27"/>
        <v>-2.7289569984685113E-3</v>
      </c>
      <c r="J94" s="386">
        <f t="shared" si="27"/>
        <v>-2.7747308318085426E-3</v>
      </c>
      <c r="K94" s="386">
        <f t="shared" si="27"/>
        <v>-2.8220664249612262E-3</v>
      </c>
      <c r="L94" s="386">
        <f t="shared" si="27"/>
        <v>-2.8710450937835881E-3</v>
      </c>
      <c r="M94" s="386">
        <f t="shared" si="27"/>
        <v>-2.9217538989814041E-3</v>
      </c>
      <c r="N94" s="386">
        <f t="shared" si="27"/>
        <v>-2.9742861625625316E-3</v>
      </c>
      <c r="O94" s="386">
        <f t="shared" si="27"/>
        <v>-3.0287420410243706E-3</v>
      </c>
      <c r="P94" s="386">
        <f t="shared" si="27"/>
        <v>-3.0852291626822254E-3</v>
      </c>
      <c r="Q94" s="386">
        <f t="shared" si="27"/>
        <v>-3.1438633376714748E-3</v>
      </c>
      <c r="R94" s="386">
        <f t="shared" si="27"/>
        <v>-3.2047693504788982E-3</v>
      </c>
      <c r="S94" s="386">
        <f t="shared" si="27"/>
        <v>-3.2680818464161281E-3</v>
      </c>
      <c r="T94" s="386">
        <f t="shared" si="27"/>
        <v>-3.3339463252882858E-3</v>
      </c>
      <c r="U94" s="386">
        <f t="shared" si="27"/>
        <v>-3.4025202576916554E-3</v>
      </c>
      <c r="V94" s="386">
        <f t="shared" si="27"/>
        <v>-3.4739743419671424E-3</v>
      </c>
      <c r="W94" s="386">
        <f t="shared" si="27"/>
        <v>-3.5484939229297823E-3</v>
      </c>
      <c r="X94" s="386">
        <f t="shared" si="27"/>
        <v>-3.6262805971984118E-3</v>
      </c>
      <c r="Y94" s="386">
        <f t="shared" si="27"/>
        <v>-3.7075540344005103E-3</v>
      </c>
      <c r="Z94" s="386">
        <f t="shared" si="27"/>
        <v>-3.7925540488965449E-3</v>
      </c>
      <c r="AA94" s="386">
        <f t="shared" si="27"/>
        <v>-3.8815429631713695E-3</v>
      </c>
      <c r="AB94" s="386">
        <f t="shared" si="27"/>
        <v>-3.9748083119496855E-3</v>
      </c>
      <c r="AC94" s="386">
        <f t="shared" si="27"/>
        <v>-4.0726659457546817E-3</v>
      </c>
      <c r="AD94" s="386">
        <f t="shared" si="27"/>
        <v>-4.1754636044859144E-3</v>
      </c>
      <c r="AE94" s="386">
        <f t="shared" si="27"/>
        <v>-4.2835850462127519E-3</v>
      </c>
      <c r="AF94" s="386">
        <f t="shared" si="27"/>
        <v>-4.3974548344977542E-3</v>
      </c>
      <c r="AG94" s="386">
        <f t="shared" si="27"/>
        <v>-4.5175439101354936E-3</v>
      </c>
      <c r="AH94" s="386">
        <f t="shared" si="27"/>
        <v>-4.6443761014666497E-3</v>
      </c>
      <c r="AI94" s="386">
        <f t="shared" si="27"/>
        <v>-4.7785357630523309E-3</v>
      </c>
      <c r="AJ94" s="386">
        <f t="shared" si="27"/>
        <v>-4.9206767776558543E-3</v>
      </c>
      <c r="AK94" s="386">
        <f t="shared" si="27"/>
        <v>-5.0715332141027299E-3</v>
      </c>
      <c r="AL94" s="386">
        <f t="shared" si="27"/>
        <v>-5.2319320076152729E-3</v>
      </c>
      <c r="AM94" s="386">
        <f t="shared" si="27"/>
        <v>-5.4028081250032996E-3</v>
      </c>
      <c r="AN94" s="386">
        <f t="shared" si="27"/>
        <v>-5.5852228019832055E-3</v>
      </c>
      <c r="AO94" s="386">
        <f t="shared" si="27"/>
        <v>-5.7803856040647876E-3</v>
      </c>
      <c r="AP94" s="386">
        <f t="shared" si="27"/>
        <v>-5.9896812801095633E-3</v>
      </c>
      <c r="AQ94" s="386">
        <f t="shared" si="27"/>
        <v>-6.214702668924015E-3</v>
      </c>
      <c r="AR94" s="386">
        <f t="shared" si="27"/>
        <v>-6.457291312833755E-3</v>
      </c>
      <c r="AS94" s="386">
        <f t="shared" si="27"/>
        <v>-6.7195879696539933E-3</v>
      </c>
      <c r="AT94" s="386">
        <f t="shared" si="27"/>
        <v>-7.004095956749487E-3</v>
      </c>
      <c r="AU94" s="386">
        <f t="shared" si="27"/>
        <v>-7.3137612985136134E-3</v>
      </c>
      <c r="AV94" s="386">
        <f t="shared" si="27"/>
        <v>-7.6520751182155766E-3</v>
      </c>
      <c r="AW94" s="386">
        <f t="shared" si="27"/>
        <v>-7.8332469942957901E-3</v>
      </c>
      <c r="AX94" s="386">
        <f t="shared" si="27"/>
        <v>-8.0232058262817638E-3</v>
      </c>
      <c r="AY94" s="386">
        <f t="shared" si="27"/>
        <v>-8.222606761478608E-3</v>
      </c>
      <c r="AZ94" s="386">
        <f t="shared" si="27"/>
        <v>-8.4321717366817872E-3</v>
      </c>
      <c r="BA94" s="386">
        <f t="shared" si="27"/>
        <v>-8.6526982119003865E-3</v>
      </c>
      <c r="BB94" s="386">
        <f t="shared" si="27"/>
        <v>-8.8850693113626967E-3</v>
      </c>
      <c r="BC94" s="386">
        <f t="shared" si="27"/>
        <v>-9.1302656436560593E-3</v>
      </c>
      <c r="BD94" s="386">
        <f t="shared" si="27"/>
        <v>-9.3893791345733418E-3</v>
      </c>
      <c r="BE94" s="386">
        <f t="shared" si="27"/>
        <v>-9.5245304228008965E-3</v>
      </c>
      <c r="BF94" s="386">
        <f t="shared" si="27"/>
        <v>-9.663629284183739E-3</v>
      </c>
      <c r="BG94" s="386">
        <f t="shared" si="27"/>
        <v>-9.6919380298057124E-3</v>
      </c>
      <c r="BH94" s="386">
        <f t="shared" si="27"/>
        <v>-9.7204131186386794E-3</v>
      </c>
      <c r="BI94" s="386">
        <f t="shared" si="27"/>
        <v>-9.7490560211610094E-3</v>
      </c>
      <c r="BJ94" s="386">
        <f t="shared" si="27"/>
        <v>-9.7778682252343662E-3</v>
      </c>
      <c r="BK94" s="386">
        <f t="shared" si="27"/>
        <v>-9.8068512363613681E-3</v>
      </c>
      <c r="BL94" s="386">
        <f t="shared" si="27"/>
        <v>-9.8360065779478124E-3</v>
      </c>
      <c r="BM94" s="386">
        <f t="shared" si="27"/>
        <v>-9.865335791569587E-3</v>
      </c>
      <c r="BN94" s="386">
        <f t="shared" si="27"/>
        <v>-9.8948404372443816E-3</v>
      </c>
      <c r="BO94" s="386">
        <f t="shared" si="26"/>
        <v>-9.9245220937082927E-3</v>
      </c>
      <c r="BP94" s="386"/>
    </row>
    <row r="95" spans="2:68">
      <c r="B95" s="359" t="s">
        <v>125</v>
      </c>
      <c r="C95" s="386">
        <f t="shared" si="27"/>
        <v>-2.8179351824037698E-3</v>
      </c>
      <c r="D95" s="386">
        <f t="shared" si="27"/>
        <v>-2.8622037324745934E-3</v>
      </c>
      <c r="E95" s="386">
        <f t="shared" si="27"/>
        <v>-2.9103300843191363E-3</v>
      </c>
      <c r="F95" s="386">
        <f t="shared" si="27"/>
        <v>-2.960102549918622E-3</v>
      </c>
      <c r="G95" s="386">
        <f t="shared" si="27"/>
        <v>-3.0116070542756152E-3</v>
      </c>
      <c r="H95" s="386">
        <f t="shared" si="27"/>
        <v>-3.0649356085202212E-3</v>
      </c>
      <c r="I95" s="386">
        <f t="shared" si="27"/>
        <v>-3.1201868584797773E-3</v>
      </c>
      <c r="J95" s="386">
        <f t="shared" si="27"/>
        <v>-3.1774666936718091E-3</v>
      </c>
      <c r="K95" s="386">
        <f t="shared" si="27"/>
        <v>-3.2368889246301375E-3</v>
      </c>
      <c r="L95" s="386">
        <f t="shared" si="27"/>
        <v>-3.2985760376799751E-3</v>
      </c>
      <c r="M95" s="386">
        <f t="shared" si="27"/>
        <v>-3.3626600376946321E-3</v>
      </c>
      <c r="N95" s="386">
        <f t="shared" si="27"/>
        <v>-3.4292833910359042E-3</v>
      </c>
      <c r="O95" s="386">
        <f t="shared" si="27"/>
        <v>-3.498600082853358E-3</v>
      </c>
      <c r="P95" s="386">
        <f t="shared" si="27"/>
        <v>-3.5707768052572054E-3</v>
      </c>
      <c r="Q95" s="386">
        <f t="shared" si="27"/>
        <v>-3.6459942956625175E-3</v>
      </c>
      <c r="R95" s="386">
        <f t="shared" si="27"/>
        <v>-3.7244488479244737E-3</v>
      </c>
      <c r="S95" s="386">
        <f t="shared" si="27"/>
        <v>-3.8063540228638706E-3</v>
      </c>
      <c r="T95" s="386">
        <f t="shared" si="27"/>
        <v>-3.8919425895668899E-3</v>
      </c>
      <c r="U95" s="386">
        <f t="shared" si="27"/>
        <v>-3.981468734618551E-3</v>
      </c>
      <c r="V95" s="386">
        <f t="shared" si="27"/>
        <v>-4.0752105834284749E-3</v>
      </c>
      <c r="W95" s="386">
        <f t="shared" si="27"/>
        <v>-4.1734730863256901E-3</v>
      </c>
      <c r="X95" s="386">
        <f t="shared" si="27"/>
        <v>-4.2765913325115302E-3</v>
      </c>
      <c r="Y95" s="386">
        <f t="shared" si="27"/>
        <v>-4.3849343677460229E-3</v>
      </c>
      <c r="Z95" s="386">
        <f t="shared" si="27"/>
        <v>-4.4989096074206829E-3</v>
      </c>
      <c r="AA95" s="386">
        <f t="shared" si="27"/>
        <v>-4.6189679562375083E-3</v>
      </c>
      <c r="AB95" s="386">
        <f t="shared" si="27"/>
        <v>-4.7456097701091488E-3</v>
      </c>
      <c r="AC95" s="386">
        <f t="shared" si="27"/>
        <v>-4.8793918264798571E-3</v>
      </c>
      <c r="AD95" s="386">
        <f t="shared" si="27"/>
        <v>-5.0209355078364515E-3</v>
      </c>
      <c r="AE95" s="386">
        <f t="shared" si="27"/>
        <v>-5.1709364521184522E-3</v>
      </c>
      <c r="AF95" s="386">
        <f t="shared" si="27"/>
        <v>-5.3301759862406217E-3</v>
      </c>
      <c r="AG95" s="386">
        <f t="shared" si="27"/>
        <v>-5.4995347393189051E-3</v>
      </c>
      <c r="AH95" s="386">
        <f t="shared" si="27"/>
        <v>-5.6800089363078649E-3</v>
      </c>
      <c r="AI95" s="386">
        <f t="shared" si="27"/>
        <v>-5.8727300086687468E-3</v>
      </c>
      <c r="AJ95" s="386">
        <f t="shared" si="27"/>
        <v>-6.0789883375588346E-3</v>
      </c>
      <c r="AK95" s="386">
        <f t="shared" si="27"/>
        <v>-6.3002621825021844E-3</v>
      </c>
      <c r="AL95" s="386">
        <f t="shared" si="27"/>
        <v>-6.5382531667044497E-3</v>
      </c>
      <c r="AM95" s="386">
        <f t="shared" si="27"/>
        <v>-6.7949301208044145E-3</v>
      </c>
      <c r="AN95" s="386">
        <f t="shared" si="27"/>
        <v>-7.0725836758517161E-3</v>
      </c>
      <c r="AO95" s="386">
        <f t="shared" si="27"/>
        <v>-7.3738948111328985E-3</v>
      </c>
      <c r="AP95" s="386">
        <f t="shared" si="27"/>
        <v>-7.7020217036297238E-3</v>
      </c>
      <c r="AQ95" s="386">
        <f t="shared" si="27"/>
        <v>-8.0607108453584139E-3</v>
      </c>
      <c r="AR95" s="386">
        <f t="shared" si="27"/>
        <v>-8.4544407262364014E-3</v>
      </c>
      <c r="AS95" s="386">
        <f t="shared" si="27"/>
        <v>-8.8886097890595126E-3</v>
      </c>
      <c r="AT95" s="386">
        <f t="shared" si="27"/>
        <v>-9.3697854329620623E-3</v>
      </c>
      <c r="AU95" s="386">
        <f t="shared" si="27"/>
        <v>-9.906038522917146E-3</v>
      </c>
      <c r="AV95" s="386">
        <f t="shared" si="27"/>
        <v>-1.0507399740701523E-2</v>
      </c>
      <c r="AW95" s="386">
        <f t="shared" si="27"/>
        <v>-1.0836317348997484E-2</v>
      </c>
      <c r="AX95" s="386">
        <f t="shared" si="27"/>
        <v>-1.118649289961526E-2</v>
      </c>
      <c r="AY95" s="386">
        <f t="shared" si="27"/>
        <v>-1.1560056063829751E-2</v>
      </c>
      <c r="AZ95" s="386">
        <f t="shared" si="27"/>
        <v>-1.1959430814926389E-2</v>
      </c>
      <c r="BA95" s="386">
        <f t="shared" si="27"/>
        <v>-1.2387388084839614E-2</v>
      </c>
      <c r="BB95" s="386">
        <f t="shared" si="27"/>
        <v>-1.2847110145983835E-2</v>
      </c>
      <c r="BC95" s="386">
        <f t="shared" si="27"/>
        <v>-1.3342269881704595E-2</v>
      </c>
      <c r="BD95" s="386">
        <f t="shared" si="27"/>
        <v>-1.3877129123290493E-2</v>
      </c>
      <c r="BE95" s="386">
        <f t="shared" si="27"/>
        <v>-1.41609685664561E-2</v>
      </c>
      <c r="BF95" s="386">
        <f t="shared" si="27"/>
        <v>-1.4456661627309903E-2</v>
      </c>
      <c r="BG95" s="386">
        <f t="shared" si="27"/>
        <v>-1.451728829122749E-2</v>
      </c>
      <c r="BH95" s="386">
        <f t="shared" si="27"/>
        <v>-1.4578425594690912E-2</v>
      </c>
      <c r="BI95" s="386">
        <f t="shared" si="27"/>
        <v>-1.464008001642156E-2</v>
      </c>
      <c r="BJ95" s="386">
        <f t="shared" si="27"/>
        <v>-1.470225814520436E-2</v>
      </c>
      <c r="BK95" s="386">
        <f t="shared" si="27"/>
        <v>-1.476496668223504E-2</v>
      </c>
      <c r="BL95" s="386">
        <f t="shared" si="27"/>
        <v>-1.4828212443527639E-2</v>
      </c>
      <c r="BM95" s="386">
        <f t="shared" si="27"/>
        <v>-1.4892002362384239E-2</v>
      </c>
      <c r="BN95" s="386">
        <f t="shared" si="27"/>
        <v>-1.4956343491928682E-2</v>
      </c>
      <c r="BO95" s="386">
        <f t="shared" si="26"/>
        <v>-1.5021243007706268E-2</v>
      </c>
      <c r="BP95" s="386"/>
    </row>
    <row r="96" spans="2:68">
      <c r="B96" s="359" t="s">
        <v>115</v>
      </c>
      <c r="C96" s="386">
        <f t="shared" si="27"/>
        <v>-3.4914687606513242E-3</v>
      </c>
      <c r="D96" s="386">
        <f t="shared" si="27"/>
        <v>-3.5548864427471169E-3</v>
      </c>
      <c r="E96" s="386">
        <f t="shared" si="27"/>
        <v>-3.6241792682163406E-3</v>
      </c>
      <c r="F96" s="386">
        <f t="shared" si="27"/>
        <v>-3.6962271455870301E-3</v>
      </c>
      <c r="G96" s="386">
        <f t="shared" si="27"/>
        <v>-3.7711977170038907E-3</v>
      </c>
      <c r="H96" s="386">
        <f t="shared" si="27"/>
        <v>-3.8492725073367273E-3</v>
      </c>
      <c r="I96" s="386">
        <f t="shared" si="27"/>
        <v>-3.9306483916253026E-3</v>
      </c>
      <c r="J96" s="386">
        <f t="shared" si="27"/>
        <v>-4.0155392526800881E-3</v>
      </c>
      <c r="K96" s="386">
        <f t="shared" si="27"/>
        <v>-4.1041778582212776E-3</v>
      </c>
      <c r="L96" s="386">
        <f t="shared" si="27"/>
        <v>-4.1968179922442289E-3</v>
      </c>
      <c r="M96" s="386">
        <f t="shared" si="27"/>
        <v>-4.293736881708028E-3</v>
      </c>
      <c r="N96" s="386">
        <f t="shared" si="27"/>
        <v>-4.3952379674158893E-3</v>
      </c>
      <c r="O96" s="386">
        <f t="shared" si="27"/>
        <v>-4.501654077421622E-3</v>
      </c>
      <c r="P96" s="386">
        <f t="shared" si="27"/>
        <v>-4.6133510728757375E-3</v>
      </c>
      <c r="Q96" s="386">
        <f t="shared" si="27"/>
        <v>-4.7307320504556593E-3</v>
      </c>
      <c r="R96" s="386">
        <f t="shared" si="27"/>
        <v>-4.8542422030992812E-3</v>
      </c>
      <c r="S96" s="386">
        <f t="shared" si="27"/>
        <v>-4.9843744625762184E-3</v>
      </c>
      <c r="T96" s="386">
        <f t="shared" si="27"/>
        <v>-5.1216760746544583E-3</v>
      </c>
      <c r="U96" s="386">
        <f t="shared" si="27"/>
        <v>-5.2667562917839295E-3</v>
      </c>
      <c r="V96" s="386">
        <f t="shared" si="27"/>
        <v>-5.4202954113458761E-3</v>
      </c>
      <c r="W96" s="386">
        <f t="shared" si="27"/>
        <v>-5.5830554422995502E-3</v>
      </c>
      <c r="X96" s="386">
        <f t="shared" si="27"/>
        <v>-5.7558927531037177E-3</v>
      </c>
      <c r="Y96" s="386">
        <f t="shared" si="27"/>
        <v>-5.9397731439759932E-3</v>
      </c>
      <c r="Z96" s="386">
        <f t="shared" si="27"/>
        <v>-6.1357899035241626E-3</v>
      </c>
      <c r="AA96" s="386">
        <f t="shared" si="27"/>
        <v>-6.3451855626816302E-3</v>
      </c>
      <c r="AB96" s="386">
        <f t="shared" si="27"/>
        <v>-6.569378260397803E-3</v>
      </c>
      <c r="AC96" s="386">
        <f t="shared" si="27"/>
        <v>-6.8099939034818556E-3</v>
      </c>
      <c r="AD96" s="386">
        <f t="shared" si="27"/>
        <v>-7.0689056626307995E-3</v>
      </c>
      <c r="AE96" s="386">
        <f t="shared" si="27"/>
        <v>-7.3482828342257113E-3</v>
      </c>
      <c r="AF96" s="386">
        <f t="shared" si="27"/>
        <v>-7.650651765590516E-3</v>
      </c>
      <c r="AG96" s="386">
        <f t="shared" si="27"/>
        <v>-7.9789724675602882E-3</v>
      </c>
      <c r="AH96" s="386">
        <f t="shared" si="27"/>
        <v>-8.3367358381024968E-3</v>
      </c>
      <c r="AI96" s="386">
        <f t="shared" si="27"/>
        <v>-8.7280882698218386E-3</v>
      </c>
      <c r="AJ96" s="386">
        <f t="shared" si="27"/>
        <v>-9.157993082962973E-3</v>
      </c>
      <c r="AK96" s="386">
        <f t="shared" si="27"/>
        <v>-9.632442138666767E-3</v>
      </c>
      <c r="AL96" s="386">
        <f t="shared" si="27"/>
        <v>-1.0158736824622811E-2</v>
      </c>
      <c r="AM96" s="386">
        <f t="shared" si="27"/>
        <v>-1.0745866479022755E-2</v>
      </c>
      <c r="AN96" s="386">
        <f t="shared" si="27"/>
        <v>-1.1405026091390101E-2</v>
      </c>
      <c r="AO96" s="386">
        <f t="shared" si="27"/>
        <v>-1.2150336991847832E-2</v>
      </c>
      <c r="AP96" s="386">
        <f t="shared" si="27"/>
        <v>-1.2999869877300748E-2</v>
      </c>
      <c r="AQ96" s="386">
        <f t="shared" si="27"/>
        <v>-1.3977129270827105E-2</v>
      </c>
      <c r="AR96" s="386">
        <f t="shared" si="27"/>
        <v>-1.5113261967871758E-2</v>
      </c>
      <c r="AS96" s="386">
        <f t="shared" si="27"/>
        <v>-1.6450437862440423E-2</v>
      </c>
      <c r="AT96" s="386">
        <f t="shared" si="27"/>
        <v>-1.8047199732808199E-2</v>
      </c>
      <c r="AU96" s="386">
        <f t="shared" si="27"/>
        <v>-1.9987263621076622E-2</v>
      </c>
      <c r="AV96" s="386">
        <f t="shared" si="27"/>
        <v>-2.239467911386249E-2</v>
      </c>
      <c r="AW96" s="386">
        <f t="shared" si="27"/>
        <v>-2.3829798689047523E-2</v>
      </c>
      <c r="AX96" s="386">
        <f t="shared" si="27"/>
        <v>-2.5461446076878488E-2</v>
      </c>
      <c r="AY96" s="386">
        <f t="shared" si="27"/>
        <v>-2.7332957871622474E-2</v>
      </c>
      <c r="AZ96" s="386">
        <f t="shared" si="27"/>
        <v>-2.9501423134398609E-2</v>
      </c>
      <c r="BA96" s="386">
        <f t="shared" si="27"/>
        <v>-3.2043608755376138E-2</v>
      </c>
      <c r="BB96" s="386">
        <f t="shared" si="27"/>
        <v>-3.506523729296343E-2</v>
      </c>
      <c r="BC96" s="386">
        <f t="shared" si="27"/>
        <v>-3.8716060596079883E-2</v>
      </c>
      <c r="BD96" s="386">
        <f t="shared" si="27"/>
        <v>-4.3215444104386658E-2</v>
      </c>
      <c r="BE96" s="386">
        <f t="shared" si="27"/>
        <v>-4.5881501387883876E-2</v>
      </c>
      <c r="BF96" s="386">
        <f t="shared" si="27"/>
        <v>-4.8898136670021845E-2</v>
      </c>
      <c r="BG96" s="386">
        <f t="shared" si="27"/>
        <v>-4.9549699355521316E-2</v>
      </c>
      <c r="BH96" s="386">
        <f t="shared" si="27"/>
        <v>-5.0218860552089101E-2</v>
      </c>
      <c r="BI96" s="386">
        <f t="shared" si="27"/>
        <v>-5.0906343016132859E-2</v>
      </c>
      <c r="BJ96" s="386">
        <f t="shared" si="27"/>
        <v>-5.1612909630733769E-2</v>
      </c>
      <c r="BK96" s="386">
        <f t="shared" si="27"/>
        <v>-5.233936622957993E-2</v>
      </c>
      <c r="BL96" s="386">
        <f t="shared" si="27"/>
        <v>-5.3086564662787161E-2</v>
      </c>
      <c r="BM96" s="386">
        <f t="shared" si="27"/>
        <v>-5.3855406129130472E-2</v>
      </c>
      <c r="BN96" s="386">
        <f t="shared" si="27"/>
        <v>-5.4646844802089485E-2</v>
      </c>
      <c r="BO96" s="386">
        <f t="shared" si="26"/>
        <v>-5.5461891780385825E-2</v>
      </c>
      <c r="BP96" s="386"/>
    </row>
    <row r="97" spans="2:68">
      <c r="B97" s="359" t="s">
        <v>339</v>
      </c>
      <c r="C97" s="386">
        <f t="shared" si="27"/>
        <v>-3.2185936332503391E-5</v>
      </c>
      <c r="D97" s="386">
        <f t="shared" si="27"/>
        <v>-3.2809430508627415E-5</v>
      </c>
      <c r="E97" s="386">
        <f t="shared" si="27"/>
        <v>-3.3492380115823594E-5</v>
      </c>
      <c r="F97" s="386">
        <f t="shared" si="27"/>
        <v>-3.4204366215837047E-5</v>
      </c>
      <c r="G97" s="386">
        <f t="shared" si="27"/>
        <v>-3.4947280815756142E-5</v>
      </c>
      <c r="H97" s="386">
        <f t="shared" si="27"/>
        <v>-3.5723183948815283E-5</v>
      </c>
      <c r="I97" s="386">
        <f t="shared" si="27"/>
        <v>-3.6534322750595841E-5</v>
      </c>
      <c r="J97" s="386">
        <f t="shared" si="27"/>
        <v>-3.7383153194500662E-5</v>
      </c>
      <c r="K97" s="386">
        <f t="shared" si="27"/>
        <v>-3.8272364929284554E-5</v>
      </c>
      <c r="L97" s="386">
        <f t="shared" si="27"/>
        <v>-3.9204909747733858E-5</v>
      </c>
      <c r="M97" s="386">
        <f t="shared" si="27"/>
        <v>-4.0184034321299038E-5</v>
      </c>
      <c r="N97" s="386">
        <f t="shared" si="27"/>
        <v>-4.1213317965564326E-5</v>
      </c>
      <c r="O97" s="386">
        <f t="shared" si="27"/>
        <v>-4.2296716362294289E-5</v>
      </c>
      <c r="P97" s="386">
        <f t="shared" si="27"/>
        <v>-4.3438612363736568E-5</v>
      </c>
      <c r="Q97" s="386">
        <f t="shared" si="27"/>
        <v>-4.4643875254727953E-5</v>
      </c>
      <c r="R97" s="386">
        <f t="shared" si="27"/>
        <v>-4.5917930162196189E-5</v>
      </c>
      <c r="S97" s="386">
        <f t="shared" si="27"/>
        <v>-4.7266839698724315E-5</v>
      </c>
      <c r="T97" s="386">
        <f t="shared" si="27"/>
        <v>-4.8697400432078986E-5</v>
      </c>
      <c r="U97" s="386">
        <f t="shared" si="27"/>
        <v>-5.0217257419754929E-5</v>
      </c>
      <c r="V97" s="386">
        <f t="shared" si="27"/>
        <v>-5.1835040882373754E-5</v>
      </c>
      <c r="W97" s="386">
        <f t="shared" si="27"/>
        <v>-5.3560530174657779E-5</v>
      </c>
      <c r="X97" s="386">
        <f t="shared" si="27"/>
        <v>-5.5404851633796619E-5</v>
      </c>
      <c r="Y97" s="386">
        <f t="shared" si="27"/>
        <v>-5.738071876223816E-5</v>
      </c>
      <c r="Z97" s="386">
        <f t="shared" si="27"/>
        <v>-5.9502725703943933E-5</v>
      </c>
      <c r="AA97" s="386">
        <f t="shared" si="27"/>
        <v>-6.1787708339881308E-5</v>
      </c>
      <c r="AB97" s="386">
        <f t="shared" si="27"/>
        <v>-6.4255191905305897E-5</v>
      </c>
      <c r="AC97" s="386">
        <f t="shared" si="27"/>
        <v>-6.6927950321552074E-5</v>
      </c>
      <c r="AD97" s="386">
        <f t="shared" si="27"/>
        <v>-6.9832711182225339E-5</v>
      </c>
      <c r="AE97" s="386">
        <f t="shared" si="27"/>
        <v>-7.3001052652635481E-5</v>
      </c>
      <c r="AF97" s="386">
        <f t="shared" si="27"/>
        <v>-7.6470556129572208E-5</v>
      </c>
      <c r="AG97" s="386">
        <f t="shared" si="27"/>
        <v>-8.0286303995399488E-5</v>
      </c>
      <c r="AH97" s="386">
        <f t="shared" si="27"/>
        <v>-8.4502849334195434E-5</v>
      </c>
      <c r="AI97" s="386">
        <f t="shared" si="27"/>
        <v>-8.9186840735871136E-5</v>
      </c>
      <c r="AJ97" s="386">
        <f t="shared" si="27"/>
        <v>-9.4420571284892704E-5</v>
      </c>
      <c r="AK97" s="386">
        <f t="shared" si="27"/>
        <v>-1.0030685503650073E-4</v>
      </c>
      <c r="AL97" s="386">
        <f t="shared" si="27"/>
        <v>-1.0697584879504064E-4</v>
      </c>
      <c r="AM97" s="386">
        <f t="shared" si="27"/>
        <v>-1.1459478902062815E-4</v>
      </c>
      <c r="AN97" s="386">
        <f t="shared" si="27"/>
        <v>-1.2338220864028816E-4</v>
      </c>
      <c r="AO97" s="386">
        <f t="shared" si="27"/>
        <v>-1.3362923819088522E-4</v>
      </c>
      <c r="AP97" s="386">
        <f t="shared" si="27"/>
        <v>-1.4573248285433524E-4</v>
      </c>
      <c r="AQ97" s="386">
        <f t="shared" si="27"/>
        <v>-1.602465456009184E-4</v>
      </c>
      <c r="AR97" s="386">
        <f t="shared" si="27"/>
        <v>-1.7797140782578765E-4</v>
      </c>
      <c r="AS97" s="386">
        <f t="shared" si="27"/>
        <v>-2.0010501310572807E-4</v>
      </c>
      <c r="AT97" s="386">
        <f t="shared" si="27"/>
        <v>-2.2852587955959425E-4</v>
      </c>
      <c r="AU97" s="386">
        <f t="shared" si="27"/>
        <v>-2.6635641680416457E-4</v>
      </c>
      <c r="AV97" s="386">
        <f t="shared" si="27"/>
        <v>-3.1919675482141029E-4</v>
      </c>
      <c r="AW97" s="386">
        <f t="shared" si="27"/>
        <v>-3.5434455881879471E-4</v>
      </c>
      <c r="AX97" s="386">
        <f t="shared" si="27"/>
        <v>-3.9819063909746677E-4</v>
      </c>
      <c r="AY97" s="386">
        <f t="shared" si="27"/>
        <v>-4.5441989603350994E-4</v>
      </c>
      <c r="AZ97" s="386">
        <f t="shared" si="27"/>
        <v>-5.2914088625005001E-4</v>
      </c>
      <c r="BA97" s="386">
        <f t="shared" si="27"/>
        <v>-6.3327058053924072E-4</v>
      </c>
      <c r="BB97" s="386">
        <f t="shared" si="27"/>
        <v>-7.8842478165487464E-4</v>
      </c>
      <c r="BC97" s="386">
        <f t="shared" si="27"/>
        <v>-1.0442775873774064E-3</v>
      </c>
      <c r="BD97" s="386">
        <f t="shared" si="27"/>
        <v>-1.5459587924688519E-3</v>
      </c>
      <c r="BE97" s="386">
        <f t="shared" si="27"/>
        <v>-2.0347048963525812E-3</v>
      </c>
      <c r="BF97" s="386">
        <f t="shared" si="27"/>
        <v>-2.9753425763414188E-3</v>
      </c>
      <c r="BG97" s="386">
        <f t="shared" si="27"/>
        <v>-3.2784676333543904E-3</v>
      </c>
      <c r="BH97" s="386">
        <f t="shared" si="27"/>
        <v>-3.6503631400215861E-3</v>
      </c>
      <c r="BI97" s="386">
        <f t="shared" si="27"/>
        <v>-4.1174266052674572E-3</v>
      </c>
      <c r="BJ97" s="386">
        <f t="shared" si="27"/>
        <v>-4.7215480310290004E-3</v>
      </c>
      <c r="BK97" s="386">
        <f t="shared" si="27"/>
        <v>-5.5334297727421856E-3</v>
      </c>
      <c r="BL97" s="386">
        <f t="shared" si="27"/>
        <v>-6.6825024221951138E-3</v>
      </c>
      <c r="BM97" s="386">
        <f t="shared" si="27"/>
        <v>-8.4338836503480355E-3</v>
      </c>
      <c r="BN97" s="386">
        <f t="shared" ref="BN97:CT97" si="28">$E25*($C25-1)/(1+BN$83*($C25-1))</f>
        <v>-1.1429337407090359E-2</v>
      </c>
      <c r="BO97" s="386">
        <f t="shared" si="28"/>
        <v>-1.7724546197664944E-2</v>
      </c>
      <c r="BP97" s="386"/>
    </row>
    <row r="98" spans="2:68">
      <c r="B98" s="359" t="s">
        <v>340</v>
      </c>
      <c r="C98" s="386">
        <f>SUM(C86:C97)</f>
        <v>51.851997870163885</v>
      </c>
      <c r="D98" s="386">
        <f t="shared" ref="D98:AE98" si="29">SUM(D86:D97)</f>
        <v>23.609417701225503</v>
      </c>
      <c r="E98" s="386">
        <f t="shared" si="29"/>
        <v>15.224699842766013</v>
      </c>
      <c r="F98" s="386">
        <f t="shared" si="29"/>
        <v>11.299640728737755</v>
      </c>
      <c r="G98" s="386">
        <f t="shared" si="29"/>
        <v>9.0099640138161234</v>
      </c>
      <c r="H98" s="386">
        <f t="shared" si="29"/>
        <v>7.5044681087189655</v>
      </c>
      <c r="I98" s="386">
        <f t="shared" si="29"/>
        <v>6.436755888717383</v>
      </c>
      <c r="J98" s="386">
        <f t="shared" si="29"/>
        <v>5.6388662908660852</v>
      </c>
      <c r="K98" s="386">
        <f t="shared" si="29"/>
        <v>5.0193007890406083</v>
      </c>
      <c r="L98" s="386">
        <f t="shared" si="29"/>
        <v>4.5238751838512918</v>
      </c>
      <c r="M98" s="386">
        <f t="shared" si="29"/>
        <v>4.1184175421277782</v>
      </c>
      <c r="N98" s="386">
        <f t="shared" si="29"/>
        <v>3.7802891540750316</v>
      </c>
      <c r="O98" s="386">
        <f t="shared" si="29"/>
        <v>3.4938860088593602</v>
      </c>
      <c r="P98" s="386">
        <f t="shared" si="29"/>
        <v>3.2480967317090697</v>
      </c>
      <c r="Q98" s="386">
        <f t="shared" si="29"/>
        <v>3.034790312202797</v>
      </c>
      <c r="R98" s="386">
        <f t="shared" si="29"/>
        <v>2.8478771562720793</v>
      </c>
      <c r="S98" s="386">
        <f t="shared" si="29"/>
        <v>2.6827046508262109</v>
      </c>
      <c r="T98" s="386">
        <f t="shared" si="29"/>
        <v>2.5356558267653329</v>
      </c>
      <c r="U98" s="386">
        <f t="shared" si="29"/>
        <v>2.4038756249146691</v>
      </c>
      <c r="V98" s="386">
        <f t="shared" si="29"/>
        <v>2.2850797533851486</v>
      </c>
      <c r="W98" s="386">
        <f t="shared" si="29"/>
        <v>2.1774184167658368</v>
      </c>
      <c r="X98" s="386">
        <f t="shared" si="29"/>
        <v>2.0793773530280268</v>
      </c>
      <c r="Y98" s="386">
        <f t="shared" si="29"/>
        <v>1.989704763873321</v>
      </c>
      <c r="Z98" s="386">
        <f t="shared" si="29"/>
        <v>1.9073565512493307</v>
      </c>
      <c r="AA98" s="386">
        <f t="shared" si="29"/>
        <v>1.8314547130043648</v>
      </c>
      <c r="AB98" s="386">
        <f t="shared" si="29"/>
        <v>1.7612553411521754</v>
      </c>
      <c r="AC98" s="386">
        <f t="shared" si="29"/>
        <v>1.6961237236185585</v>
      </c>
      <c r="AD98" s="386">
        <f t="shared" si="29"/>
        <v>1.6355147660641816</v>
      </c>
      <c r="AE98" s="386">
        <f t="shared" si="29"/>
        <v>1.5789574427750328</v>
      </c>
      <c r="AF98" s="386">
        <f>SUM(AF86:AF97)</f>
        <v>1.5260423293675158</v>
      </c>
      <c r="AG98" s="386">
        <f>SUM(AG86:AG97)</f>
        <v>1.4764115131706037</v>
      </c>
      <c r="AH98" s="386">
        <f>SUM(AH86:AH97)</f>
        <v>1.4297503509755607</v>
      </c>
      <c r="AI98" s="386">
        <f t="shared" ref="AI98:BO98" si="30">SUM(AI86:AI97)</f>
        <v>1.385780669135025</v>
      </c>
      <c r="AJ98" s="386">
        <f t="shared" si="30"/>
        <v>1.3442550915933262</v>
      </c>
      <c r="AK98" s="386">
        <f t="shared" si="30"/>
        <v>1.3049522465577186</v>
      </c>
      <c r="AL98" s="386">
        <f t="shared" si="30"/>
        <v>1.2676726481509784</v>
      </c>
      <c r="AM98" s="386">
        <f t="shared" si="30"/>
        <v>1.2322350790247909</v>
      </c>
      <c r="AN98" s="386">
        <f t="shared" si="30"/>
        <v>1.1984733148833393</v>
      </c>
      <c r="AO98" s="386">
        <f t="shared" si="30"/>
        <v>1.1662330310855418</v>
      </c>
      <c r="AP98" s="386">
        <f t="shared" si="30"/>
        <v>1.1353687105189065</v>
      </c>
      <c r="AQ98" s="386">
        <f t="shared" si="30"/>
        <v>1.1057403206755738</v>
      </c>
      <c r="AR98" s="386">
        <f t="shared" si="30"/>
        <v>1.0772094255170845</v>
      </c>
      <c r="AS98" s="386">
        <f t="shared" si="30"/>
        <v>1.0496342014753886</v>
      </c>
      <c r="AT98" s="386">
        <f t="shared" si="30"/>
        <v>1.0228624453650019</v>
      </c>
      <c r="AU98" s="386">
        <f t="shared" si="30"/>
        <v>0.99672088788193547</v>
      </c>
      <c r="AV98" s="386">
        <f t="shared" si="30"/>
        <v>0.97099745065750864</v>
      </c>
      <c r="AW98" s="386">
        <f t="shared" si="30"/>
        <v>0.95820825434580537</v>
      </c>
      <c r="AX98" s="386">
        <f t="shared" si="30"/>
        <v>0.9454091085383538</v>
      </c>
      <c r="AY98" s="386">
        <f t="shared" si="30"/>
        <v>0.93254313073359929</v>
      </c>
      <c r="AZ98" s="386">
        <f t="shared" si="30"/>
        <v>0.91953719345680018</v>
      </c>
      <c r="BA98" s="386">
        <f t="shared" si="30"/>
        <v>0.90629353774076449</v>
      </c>
      <c r="BB98" s="386">
        <f t="shared" si="30"/>
        <v>0.89267451625219285</v>
      </c>
      <c r="BC98" s="386">
        <f t="shared" si="30"/>
        <v>0.87847005587230287</v>
      </c>
      <c r="BD98" s="386">
        <f t="shared" si="30"/>
        <v>0.86330455137233386</v>
      </c>
      <c r="BE98" s="386">
        <f t="shared" si="30"/>
        <v>0.85511389736149068</v>
      </c>
      <c r="BF98" s="386">
        <f t="shared" si="30"/>
        <v>0.84614965595358094</v>
      </c>
      <c r="BG98" s="386">
        <f t="shared" si="30"/>
        <v>0.84419690138328296</v>
      </c>
      <c r="BH98" s="386">
        <f t="shared" si="30"/>
        <v>0.84215885664830747</v>
      </c>
      <c r="BI98" s="386">
        <f t="shared" si="30"/>
        <v>0.84000838835348757</v>
      </c>
      <c r="BJ98" s="386">
        <f t="shared" si="30"/>
        <v>0.83770283037674365</v>
      </c>
      <c r="BK98" s="386">
        <f t="shared" si="30"/>
        <v>0.83517066118195915</v>
      </c>
      <c r="BL98" s="386">
        <f t="shared" si="30"/>
        <v>0.83228158486753911</v>
      </c>
      <c r="BM98" s="386">
        <f t="shared" si="30"/>
        <v>0.82876956898852283</v>
      </c>
      <c r="BN98" s="386">
        <f t="shared" si="30"/>
        <v>0.82399188172787896</v>
      </c>
      <c r="BO98" s="386">
        <f t="shared" si="30"/>
        <v>0.8158918156665701</v>
      </c>
      <c r="BP98" s="386"/>
    </row>
    <row r="99" spans="2:68">
      <c r="B99" s="359" t="s">
        <v>340</v>
      </c>
      <c r="C99" s="386">
        <f>IF(C98&gt;0,C98,1)</f>
        <v>51.851997870163885</v>
      </c>
      <c r="D99" s="386">
        <f t="shared" ref="D99:BO99" si="31">IF(D98&gt;0,D98,1)</f>
        <v>23.609417701225503</v>
      </c>
      <c r="E99" s="386">
        <f t="shared" si="31"/>
        <v>15.224699842766013</v>
      </c>
      <c r="F99" s="386">
        <f t="shared" si="31"/>
        <v>11.299640728737755</v>
      </c>
      <c r="G99" s="386">
        <f t="shared" si="31"/>
        <v>9.0099640138161234</v>
      </c>
      <c r="H99" s="386">
        <f t="shared" si="31"/>
        <v>7.5044681087189655</v>
      </c>
      <c r="I99" s="386">
        <f t="shared" si="31"/>
        <v>6.436755888717383</v>
      </c>
      <c r="J99" s="386">
        <f t="shared" si="31"/>
        <v>5.6388662908660852</v>
      </c>
      <c r="K99" s="386">
        <f t="shared" si="31"/>
        <v>5.0193007890406083</v>
      </c>
      <c r="L99" s="386">
        <f t="shared" si="31"/>
        <v>4.5238751838512918</v>
      </c>
      <c r="M99" s="386">
        <f t="shared" si="31"/>
        <v>4.1184175421277782</v>
      </c>
      <c r="N99" s="386">
        <f t="shared" si="31"/>
        <v>3.7802891540750316</v>
      </c>
      <c r="O99" s="386">
        <f t="shared" si="31"/>
        <v>3.4938860088593602</v>
      </c>
      <c r="P99" s="386">
        <f t="shared" si="31"/>
        <v>3.2480967317090697</v>
      </c>
      <c r="Q99" s="386">
        <f t="shared" si="31"/>
        <v>3.034790312202797</v>
      </c>
      <c r="R99" s="386">
        <f t="shared" si="31"/>
        <v>2.8478771562720793</v>
      </c>
      <c r="S99" s="386">
        <f t="shared" si="31"/>
        <v>2.6827046508262109</v>
      </c>
      <c r="T99" s="386">
        <f t="shared" si="31"/>
        <v>2.5356558267653329</v>
      </c>
      <c r="U99" s="386">
        <f t="shared" si="31"/>
        <v>2.4038756249146691</v>
      </c>
      <c r="V99" s="386">
        <f t="shared" si="31"/>
        <v>2.2850797533851486</v>
      </c>
      <c r="W99" s="386">
        <f t="shared" si="31"/>
        <v>2.1774184167658368</v>
      </c>
      <c r="X99" s="386">
        <f t="shared" si="31"/>
        <v>2.0793773530280268</v>
      </c>
      <c r="Y99" s="386">
        <f t="shared" si="31"/>
        <v>1.989704763873321</v>
      </c>
      <c r="Z99" s="386">
        <f t="shared" si="31"/>
        <v>1.9073565512493307</v>
      </c>
      <c r="AA99" s="386">
        <f t="shared" si="31"/>
        <v>1.8314547130043648</v>
      </c>
      <c r="AB99" s="386">
        <f t="shared" si="31"/>
        <v>1.7612553411521754</v>
      </c>
      <c r="AC99" s="386">
        <f t="shared" si="31"/>
        <v>1.6961237236185585</v>
      </c>
      <c r="AD99" s="386">
        <f t="shared" si="31"/>
        <v>1.6355147660641816</v>
      </c>
      <c r="AE99" s="386">
        <f t="shared" si="31"/>
        <v>1.5789574427750328</v>
      </c>
      <c r="AF99" s="386">
        <f t="shared" si="31"/>
        <v>1.5260423293675158</v>
      </c>
      <c r="AG99" s="386">
        <f t="shared" si="31"/>
        <v>1.4764115131706037</v>
      </c>
      <c r="AH99" s="386">
        <f t="shared" si="31"/>
        <v>1.4297503509755607</v>
      </c>
      <c r="AI99" s="386">
        <f t="shared" si="31"/>
        <v>1.385780669135025</v>
      </c>
      <c r="AJ99" s="386">
        <f t="shared" si="31"/>
        <v>1.3442550915933262</v>
      </c>
      <c r="AK99" s="386">
        <f t="shared" si="31"/>
        <v>1.3049522465577186</v>
      </c>
      <c r="AL99" s="386">
        <f t="shared" si="31"/>
        <v>1.2676726481509784</v>
      </c>
      <c r="AM99" s="386">
        <f t="shared" si="31"/>
        <v>1.2322350790247909</v>
      </c>
      <c r="AN99" s="386">
        <f t="shared" si="31"/>
        <v>1.1984733148833393</v>
      </c>
      <c r="AO99" s="386">
        <f t="shared" si="31"/>
        <v>1.1662330310855418</v>
      </c>
      <c r="AP99" s="386">
        <f t="shared" si="31"/>
        <v>1.1353687105189065</v>
      </c>
      <c r="AQ99" s="386">
        <f t="shared" si="31"/>
        <v>1.1057403206755738</v>
      </c>
      <c r="AR99" s="386">
        <f t="shared" si="31"/>
        <v>1.0772094255170845</v>
      </c>
      <c r="AS99" s="386">
        <f t="shared" si="31"/>
        <v>1.0496342014753886</v>
      </c>
      <c r="AT99" s="386">
        <f t="shared" si="31"/>
        <v>1.0228624453650019</v>
      </c>
      <c r="AU99" s="386">
        <f t="shared" si="31"/>
        <v>0.99672088788193547</v>
      </c>
      <c r="AV99" s="386">
        <f t="shared" si="31"/>
        <v>0.97099745065750864</v>
      </c>
      <c r="AW99" s="386">
        <f t="shared" si="31"/>
        <v>0.95820825434580537</v>
      </c>
      <c r="AX99" s="386">
        <f t="shared" si="31"/>
        <v>0.9454091085383538</v>
      </c>
      <c r="AY99" s="386">
        <f t="shared" si="31"/>
        <v>0.93254313073359929</v>
      </c>
      <c r="AZ99" s="386">
        <f t="shared" si="31"/>
        <v>0.91953719345680018</v>
      </c>
      <c r="BA99" s="386">
        <f t="shared" si="31"/>
        <v>0.90629353774076449</v>
      </c>
      <c r="BB99" s="386">
        <f t="shared" si="31"/>
        <v>0.89267451625219285</v>
      </c>
      <c r="BC99" s="386">
        <f t="shared" si="31"/>
        <v>0.87847005587230287</v>
      </c>
      <c r="BD99" s="386">
        <f t="shared" si="31"/>
        <v>0.86330455137233386</v>
      </c>
      <c r="BE99" s="386">
        <f t="shared" si="31"/>
        <v>0.85511389736149068</v>
      </c>
      <c r="BF99" s="386">
        <f t="shared" si="31"/>
        <v>0.84614965595358094</v>
      </c>
      <c r="BG99" s="386">
        <f t="shared" si="31"/>
        <v>0.84419690138328296</v>
      </c>
      <c r="BH99" s="386">
        <f t="shared" si="31"/>
        <v>0.84215885664830747</v>
      </c>
      <c r="BI99" s="386">
        <f t="shared" si="31"/>
        <v>0.84000838835348757</v>
      </c>
      <c r="BJ99" s="386">
        <f t="shared" si="31"/>
        <v>0.83770283037674365</v>
      </c>
      <c r="BK99" s="386">
        <f t="shared" si="31"/>
        <v>0.83517066118195915</v>
      </c>
      <c r="BL99" s="386">
        <f t="shared" si="31"/>
        <v>0.83228158486753911</v>
      </c>
      <c r="BM99" s="386">
        <f t="shared" si="31"/>
        <v>0.82876956898852283</v>
      </c>
      <c r="BN99" s="386">
        <f t="shared" si="31"/>
        <v>0.82399188172787896</v>
      </c>
      <c r="BO99" s="386">
        <f t="shared" si="31"/>
        <v>0.8158918156665701</v>
      </c>
      <c r="BP99" s="386">
        <f>MIN(C99:BO99)</f>
        <v>0.8158918156665701</v>
      </c>
    </row>
    <row r="100" spans="2:68">
      <c r="D100"/>
      <c r="E100"/>
      <c r="F100"/>
      <c r="G100"/>
      <c r="H100"/>
      <c r="I100"/>
      <c r="J100"/>
    </row>
    <row r="101" spans="2:68">
      <c r="D101"/>
      <c r="E101"/>
      <c r="F101"/>
      <c r="G101"/>
      <c r="H101"/>
      <c r="I101"/>
      <c r="J101"/>
    </row>
    <row r="103" spans="2:68">
      <c r="B103" s="186" t="s">
        <v>600</v>
      </c>
    </row>
    <row r="104" spans="2:68">
      <c r="B104" s="264" t="s">
        <v>503</v>
      </c>
    </row>
    <row r="105" spans="2:68">
      <c r="B105" t="s">
        <v>504</v>
      </c>
    </row>
    <row r="106" spans="2:68">
      <c r="B106" t="s">
        <v>505</v>
      </c>
    </row>
    <row r="107" spans="2:68">
      <c r="B107" t="s">
        <v>506</v>
      </c>
    </row>
    <row r="108" spans="2:68">
      <c r="B108" t="s">
        <v>507</v>
      </c>
    </row>
    <row r="109" spans="2:68">
      <c r="B109" t="s">
        <v>555</v>
      </c>
    </row>
    <row r="110" spans="2:68">
      <c r="B110" t="s">
        <v>508</v>
      </c>
    </row>
    <row r="111" spans="2:68">
      <c r="B111" t="s">
        <v>509</v>
      </c>
    </row>
    <row r="112" spans="2:68">
      <c r="B112" t="s">
        <v>510</v>
      </c>
    </row>
    <row r="113" spans="1:15">
      <c r="B113" t="s">
        <v>556</v>
      </c>
    </row>
    <row r="114" spans="1:15">
      <c r="B114" t="s">
        <v>596</v>
      </c>
    </row>
    <row r="115" spans="1:15" s="32" customFormat="1">
      <c r="A115"/>
      <c r="B115" t="s">
        <v>511</v>
      </c>
      <c r="K115"/>
      <c r="L115"/>
      <c r="M115"/>
      <c r="N115"/>
      <c r="O115"/>
    </row>
    <row r="116" spans="1:15" s="32" customFormat="1">
      <c r="A116"/>
      <c r="B116" t="s">
        <v>557</v>
      </c>
      <c r="K116"/>
      <c r="L116"/>
      <c r="M116"/>
      <c r="N116"/>
      <c r="O116"/>
    </row>
    <row r="117" spans="1:15" s="32" customFormat="1">
      <c r="A117"/>
      <c r="B117" t="s">
        <v>512</v>
      </c>
      <c r="K117"/>
      <c r="L117"/>
      <c r="M117"/>
      <c r="N117"/>
      <c r="O117"/>
    </row>
    <row r="118" spans="1:15" s="32" customFormat="1">
      <c r="A118"/>
      <c r="B118" t="s">
        <v>513</v>
      </c>
      <c r="K118"/>
      <c r="L118"/>
      <c r="M118"/>
      <c r="N118"/>
      <c r="O118"/>
    </row>
    <row r="119" spans="1:15" s="32" customFormat="1">
      <c r="A119"/>
      <c r="B119" t="s">
        <v>514</v>
      </c>
      <c r="K119"/>
      <c r="L119"/>
      <c r="M119"/>
      <c r="N119"/>
      <c r="O119"/>
    </row>
    <row r="120" spans="1:15" s="32" customFormat="1">
      <c r="A120"/>
      <c r="B120" t="s">
        <v>241</v>
      </c>
      <c r="C120" s="32" t="s">
        <v>558</v>
      </c>
      <c r="D120" s="32" t="s">
        <v>559</v>
      </c>
      <c r="K120"/>
      <c r="L120"/>
      <c r="M120"/>
      <c r="N120"/>
      <c r="O120"/>
    </row>
    <row r="121" spans="1:15" s="32" customFormat="1">
      <c r="A121"/>
      <c r="B121" t="s">
        <v>4</v>
      </c>
      <c r="C121" s="32">
        <v>470</v>
      </c>
      <c r="D121" s="32">
        <v>109</v>
      </c>
      <c r="K121"/>
      <c r="L121"/>
      <c r="M121"/>
      <c r="N121"/>
      <c r="O121"/>
    </row>
    <row r="122" spans="1:15" s="32" customFormat="1">
      <c r="A122"/>
      <c r="B122" t="s">
        <v>70</v>
      </c>
      <c r="C122" s="32">
        <v>652</v>
      </c>
      <c r="D122" s="32">
        <v>194</v>
      </c>
      <c r="K122"/>
      <c r="L122"/>
      <c r="M122"/>
      <c r="N122"/>
      <c r="O122"/>
    </row>
    <row r="123" spans="1:15" s="32" customFormat="1">
      <c r="A123"/>
      <c r="B123" t="s">
        <v>2</v>
      </c>
      <c r="C123" s="32">
        <v>1136</v>
      </c>
      <c r="D123" s="32">
        <v>331</v>
      </c>
      <c r="K123"/>
      <c r="L123"/>
      <c r="M123"/>
      <c r="N123"/>
      <c r="O123"/>
    </row>
    <row r="124" spans="1:15" s="32" customFormat="1">
      <c r="A124"/>
      <c r="B124" t="s">
        <v>5</v>
      </c>
      <c r="C124" s="32">
        <v>300</v>
      </c>
      <c r="D124" s="32">
        <v>94</v>
      </c>
      <c r="K124"/>
      <c r="L124"/>
      <c r="M124"/>
      <c r="N124"/>
      <c r="O124"/>
    </row>
    <row r="125" spans="1:15" s="32" customFormat="1">
      <c r="A125"/>
      <c r="B125" t="s">
        <v>6</v>
      </c>
      <c r="C125" s="32">
        <v>1145</v>
      </c>
      <c r="D125" s="32">
        <v>303</v>
      </c>
      <c r="K125"/>
      <c r="L125"/>
      <c r="M125"/>
      <c r="N125"/>
      <c r="O125"/>
    </row>
    <row r="126" spans="1:15" s="32" customFormat="1">
      <c r="A126"/>
      <c r="B126" t="s">
        <v>7</v>
      </c>
      <c r="C126" s="32">
        <v>1799</v>
      </c>
      <c r="D126" s="32">
        <v>416</v>
      </c>
      <c r="K126"/>
      <c r="L126"/>
      <c r="M126"/>
      <c r="N126"/>
      <c r="O126"/>
    </row>
    <row r="127" spans="1:15" s="32" customFormat="1">
      <c r="A127"/>
      <c r="B127" t="s">
        <v>560</v>
      </c>
      <c r="C127" s="32">
        <v>2037</v>
      </c>
      <c r="D127" s="32">
        <v>471</v>
      </c>
      <c r="K127"/>
      <c r="L127"/>
      <c r="M127"/>
      <c r="N127"/>
      <c r="O127"/>
    </row>
    <row r="128" spans="1:15" s="32" customFormat="1">
      <c r="A128"/>
      <c r="B128" t="s">
        <v>561</v>
      </c>
      <c r="C128" s="32">
        <v>2153</v>
      </c>
      <c r="D128" s="32">
        <v>491</v>
      </c>
      <c r="K128"/>
      <c r="L128"/>
      <c r="M128"/>
      <c r="N128"/>
      <c r="O128"/>
    </row>
    <row r="129" spans="1:15" s="32" customFormat="1">
      <c r="A129"/>
      <c r="B129" t="s">
        <v>562</v>
      </c>
      <c r="C129" s="32">
        <v>2368</v>
      </c>
      <c r="D129" s="32">
        <v>542</v>
      </c>
      <c r="K129"/>
      <c r="L129"/>
      <c r="M129"/>
      <c r="N129"/>
      <c r="O129"/>
    </row>
    <row r="130" spans="1:15" s="32" customFormat="1">
      <c r="A130"/>
      <c r="B130" t="s">
        <v>563</v>
      </c>
      <c r="C130" s="32">
        <v>2480</v>
      </c>
      <c r="D130" s="32">
        <v>557</v>
      </c>
      <c r="K130"/>
      <c r="L130"/>
      <c r="M130"/>
      <c r="N130"/>
      <c r="O130"/>
    </row>
    <row r="131" spans="1:15" s="32" customFormat="1">
      <c r="A131"/>
      <c r="B131" t="s">
        <v>564</v>
      </c>
      <c r="C131" s="32">
        <v>2738</v>
      </c>
      <c r="D131" s="32">
        <v>610</v>
      </c>
      <c r="K131"/>
      <c r="L131"/>
      <c r="M131"/>
      <c r="N131"/>
      <c r="O131"/>
    </row>
    <row r="132" spans="1:15" s="32" customFormat="1">
      <c r="A132"/>
      <c r="B132" t="s">
        <v>565</v>
      </c>
      <c r="C132" s="32">
        <v>2780</v>
      </c>
      <c r="D132" s="32">
        <v>616</v>
      </c>
      <c r="K132"/>
      <c r="L132"/>
      <c r="M132"/>
      <c r="N132"/>
      <c r="O132"/>
    </row>
    <row r="133" spans="1:15" s="32" customFormat="1">
      <c r="A133"/>
      <c r="B133" t="s">
        <v>566</v>
      </c>
      <c r="C133" s="32">
        <v>3068</v>
      </c>
      <c r="D133" s="32">
        <v>669</v>
      </c>
      <c r="K133"/>
      <c r="L133"/>
      <c r="M133"/>
      <c r="N133"/>
      <c r="O133"/>
    </row>
    <row r="134" spans="1:15" s="32" customFormat="1">
      <c r="A134"/>
      <c r="B134" t="s">
        <v>567</v>
      </c>
      <c r="C134" s="32">
        <v>3335</v>
      </c>
      <c r="D134" s="32">
        <v>718</v>
      </c>
      <c r="K134"/>
      <c r="L134"/>
      <c r="M134"/>
      <c r="N134"/>
      <c r="O134"/>
    </row>
    <row r="135" spans="1:15" s="32" customFormat="1">
      <c r="A135"/>
      <c r="B135" t="s">
        <v>568</v>
      </c>
      <c r="C135" s="32">
        <v>3590</v>
      </c>
      <c r="D135" s="32">
        <v>763</v>
      </c>
      <c r="K135"/>
      <c r="L135"/>
      <c r="M135"/>
      <c r="N135"/>
      <c r="O135"/>
    </row>
    <row r="136" spans="1:15" s="32" customFormat="1">
      <c r="A136"/>
      <c r="B136" t="s">
        <v>569</v>
      </c>
      <c r="C136" s="32">
        <v>3828</v>
      </c>
      <c r="D136" s="32">
        <v>805</v>
      </c>
      <c r="K136"/>
      <c r="L136"/>
      <c r="M136"/>
      <c r="N136"/>
      <c r="O136"/>
    </row>
    <row r="137" spans="1:15" s="32" customFormat="1">
      <c r="A137"/>
      <c r="B137" t="s">
        <v>515</v>
      </c>
      <c r="K137"/>
      <c r="L137"/>
      <c r="M137"/>
      <c r="N137"/>
      <c r="O137"/>
    </row>
    <row r="138" spans="1:15" s="32" customFormat="1">
      <c r="A138"/>
      <c r="B138" t="s">
        <v>516</v>
      </c>
      <c r="K138"/>
      <c r="L138"/>
      <c r="M138"/>
      <c r="N138"/>
      <c r="O138"/>
    </row>
    <row r="139" spans="1:15" s="32" customFormat="1">
      <c r="A139"/>
      <c r="B139" t="s">
        <v>570</v>
      </c>
      <c r="K139"/>
      <c r="L139"/>
      <c r="M139"/>
      <c r="N139"/>
      <c r="O139"/>
    </row>
    <row r="140" spans="1:15" s="32" customFormat="1">
      <c r="A140"/>
      <c r="B140" t="s">
        <v>517</v>
      </c>
      <c r="K140"/>
      <c r="L140"/>
      <c r="M140"/>
      <c r="N140"/>
      <c r="O140"/>
    </row>
    <row r="141" spans="1:15" s="32" customFormat="1">
      <c r="A141"/>
      <c r="B141" t="s">
        <v>571</v>
      </c>
      <c r="K141"/>
      <c r="L141"/>
      <c r="M141"/>
      <c r="N141"/>
      <c r="O141"/>
    </row>
    <row r="142" spans="1:15" s="32" customFormat="1">
      <c r="A142"/>
      <c r="B142" t="s">
        <v>572</v>
      </c>
      <c r="K142"/>
      <c r="L142"/>
      <c r="M142"/>
      <c r="N142"/>
      <c r="O142"/>
    </row>
    <row r="143" spans="1:15" s="32" customFormat="1">
      <c r="A143"/>
      <c r="B143" t="s">
        <v>518</v>
      </c>
      <c r="K143"/>
      <c r="L143"/>
      <c r="M143"/>
      <c r="N143"/>
      <c r="O143"/>
    </row>
    <row r="144" spans="1:15" s="32" customFormat="1">
      <c r="A144"/>
      <c r="B144" t="s">
        <v>573</v>
      </c>
      <c r="K144"/>
      <c r="L144"/>
      <c r="M144"/>
      <c r="N144"/>
      <c r="O144"/>
    </row>
    <row r="145" spans="1:15" s="32" customFormat="1">
      <c r="A145"/>
      <c r="B145" t="s">
        <v>519</v>
      </c>
      <c r="K145"/>
      <c r="L145"/>
      <c r="M145"/>
      <c r="N145"/>
      <c r="O145"/>
    </row>
    <row r="147" spans="1:15" s="32" customFormat="1">
      <c r="A147"/>
      <c r="B147" t="s">
        <v>520</v>
      </c>
      <c r="K147"/>
      <c r="L147"/>
      <c r="M147"/>
      <c r="N147"/>
      <c r="O147"/>
    </row>
    <row r="148" spans="1:15" s="32" customFormat="1">
      <c r="A148"/>
      <c r="B148" t="s">
        <v>574</v>
      </c>
      <c r="K148"/>
      <c r="L148"/>
      <c r="M148"/>
      <c r="N148"/>
      <c r="O148"/>
    </row>
    <row r="149" spans="1:15" s="32" customFormat="1">
      <c r="A149"/>
      <c r="B149" t="s">
        <v>521</v>
      </c>
      <c r="K149"/>
      <c r="L149"/>
      <c r="M149"/>
      <c r="N149"/>
      <c r="O149"/>
    </row>
    <row r="150" spans="1:15" s="32" customFormat="1">
      <c r="A150"/>
      <c r="B150" t="s">
        <v>522</v>
      </c>
      <c r="K150"/>
      <c r="L150"/>
      <c r="M150"/>
      <c r="N150"/>
      <c r="O150"/>
    </row>
    <row r="152" spans="1:15" s="32" customFormat="1">
      <c r="A152"/>
      <c r="B152" t="s">
        <v>523</v>
      </c>
      <c r="K152"/>
      <c r="L152"/>
      <c r="M152"/>
      <c r="N152"/>
      <c r="O152"/>
    </row>
    <row r="153" spans="1:15" s="32" customFormat="1">
      <c r="A153"/>
      <c r="B153" t="s">
        <v>524</v>
      </c>
      <c r="K153"/>
      <c r="L153"/>
      <c r="M153"/>
      <c r="N153"/>
      <c r="O153"/>
    </row>
    <row r="154" spans="1:15" s="32" customFormat="1">
      <c r="A154"/>
      <c r="B154" t="s">
        <v>575</v>
      </c>
      <c r="K154"/>
      <c r="L154"/>
      <c r="M154"/>
      <c r="N154"/>
      <c r="O154"/>
    </row>
    <row r="155" spans="1:15" s="32" customFormat="1">
      <c r="A155"/>
      <c r="B155" t="s">
        <v>576</v>
      </c>
      <c r="K155"/>
      <c r="L155"/>
      <c r="M155"/>
      <c r="N155"/>
      <c r="O155"/>
    </row>
    <row r="156" spans="1:15" s="32" customFormat="1">
      <c r="A156"/>
      <c r="B156" t="s">
        <v>577</v>
      </c>
      <c r="K156"/>
      <c r="L156"/>
      <c r="M156"/>
      <c r="N156"/>
      <c r="O156"/>
    </row>
    <row r="157" spans="1:15" s="32" customFormat="1">
      <c r="A157"/>
      <c r="B157" t="s">
        <v>525</v>
      </c>
      <c r="K157"/>
      <c r="L157"/>
      <c r="M157"/>
      <c r="N157"/>
      <c r="O157"/>
    </row>
    <row r="158" spans="1:15" s="32" customFormat="1">
      <c r="A158"/>
      <c r="B158" t="s">
        <v>578</v>
      </c>
      <c r="K158"/>
      <c r="L158"/>
      <c r="M158"/>
      <c r="N158"/>
      <c r="O158"/>
    </row>
    <row r="159" spans="1:15" s="32" customFormat="1">
      <c r="A159"/>
      <c r="B159" t="s">
        <v>241</v>
      </c>
      <c r="C159" s="32" t="s">
        <v>579</v>
      </c>
      <c r="K159"/>
      <c r="L159"/>
      <c r="M159"/>
      <c r="N159"/>
      <c r="O159"/>
    </row>
    <row r="160" spans="1:15" s="32" customFormat="1">
      <c r="A160"/>
      <c r="B160" t="s">
        <v>70</v>
      </c>
      <c r="C160" s="32">
        <v>8.9999999999999993E-3</v>
      </c>
      <c r="K160"/>
      <c r="L160"/>
      <c r="M160"/>
      <c r="N160"/>
      <c r="O160"/>
    </row>
    <row r="161" spans="1:15" s="32" customFormat="1">
      <c r="A161"/>
      <c r="B161" t="s">
        <v>4</v>
      </c>
      <c r="C161" s="32">
        <v>3.0000000000000001E-3</v>
      </c>
      <c r="K161"/>
      <c r="L161"/>
      <c r="M161"/>
      <c r="N161"/>
      <c r="O161"/>
    </row>
    <row r="162" spans="1:15" s="32" customFormat="1">
      <c r="A162"/>
      <c r="B162" t="s">
        <v>5</v>
      </c>
      <c r="C162" s="32">
        <v>0.53500000000000003</v>
      </c>
      <c r="K162"/>
      <c r="L162"/>
      <c r="M162"/>
      <c r="N162"/>
      <c r="O162"/>
    </row>
    <row r="163" spans="1:15" s="32" customFormat="1">
      <c r="A163"/>
      <c r="B163" t="s">
        <v>6</v>
      </c>
      <c r="C163" s="32">
        <v>0.115</v>
      </c>
      <c r="K163"/>
      <c r="L163"/>
      <c r="M163"/>
      <c r="N163"/>
      <c r="O163"/>
    </row>
    <row r="164" spans="1:15" s="32" customFormat="1">
      <c r="A164"/>
      <c r="B164" t="s">
        <v>7</v>
      </c>
      <c r="C164" s="32">
        <v>8.7999999999999995E-2</v>
      </c>
      <c r="K164"/>
      <c r="L164"/>
      <c r="M164"/>
      <c r="N164"/>
      <c r="O164"/>
    </row>
    <row r="165" spans="1:15" s="32" customFormat="1">
      <c r="A165"/>
      <c r="B165" t="s">
        <v>560</v>
      </c>
      <c r="C165" s="32">
        <v>2.3E-2</v>
      </c>
      <c r="K165"/>
      <c r="L165"/>
      <c r="M165"/>
      <c r="N165"/>
      <c r="O165"/>
    </row>
    <row r="166" spans="1:15" s="32" customFormat="1">
      <c r="A166"/>
      <c r="B166" t="s">
        <v>561</v>
      </c>
      <c r="C166" s="32">
        <v>2.3E-2</v>
      </c>
      <c r="K166"/>
      <c r="L166"/>
      <c r="M166"/>
      <c r="N166"/>
      <c r="O166"/>
    </row>
    <row r="167" spans="1:15" s="32" customFormat="1">
      <c r="A167"/>
      <c r="B167" t="s">
        <v>562</v>
      </c>
      <c r="C167" s="32">
        <v>1.4999999999999999E-2</v>
      </c>
      <c r="K167"/>
      <c r="L167"/>
      <c r="M167"/>
      <c r="N167"/>
      <c r="O167"/>
    </row>
    <row r="168" spans="1:15" s="32" customFormat="1">
      <c r="A168"/>
      <c r="B168" t="s">
        <v>563</v>
      </c>
      <c r="C168" s="32">
        <v>1.4999999999999999E-2</v>
      </c>
      <c r="K168"/>
      <c r="L168"/>
      <c r="M168"/>
      <c r="N168"/>
      <c r="O168"/>
    </row>
    <row r="169" spans="1:15" s="32" customFormat="1">
      <c r="A169"/>
      <c r="B169" t="s">
        <v>115</v>
      </c>
      <c r="C169" s="32">
        <v>1.4999999999999999E-2</v>
      </c>
      <c r="K169"/>
      <c r="L169"/>
      <c r="M169"/>
      <c r="N169"/>
      <c r="O169"/>
    </row>
    <row r="170" spans="1:15" s="32" customFormat="1">
      <c r="A170"/>
      <c r="B170" t="s">
        <v>339</v>
      </c>
      <c r="C170" s="32">
        <v>0.159</v>
      </c>
      <c r="K170"/>
      <c r="L170"/>
      <c r="M170"/>
      <c r="N170"/>
      <c r="O170"/>
    </row>
    <row r="171" spans="1:15" s="32" customFormat="1">
      <c r="A171"/>
      <c r="B171" t="s">
        <v>580</v>
      </c>
      <c r="K171"/>
      <c r="L171"/>
      <c r="M171"/>
      <c r="N171"/>
      <c r="O171"/>
    </row>
    <row r="172" spans="1:15" s="32" customFormat="1">
      <c r="A172"/>
      <c r="B172" t="s">
        <v>526</v>
      </c>
      <c r="K172"/>
      <c r="L172"/>
      <c r="M172"/>
      <c r="N172"/>
      <c r="O172"/>
    </row>
    <row r="173" spans="1:15" s="32" customFormat="1">
      <c r="A173"/>
      <c r="B173" t="s">
        <v>527</v>
      </c>
      <c r="K173"/>
      <c r="L173"/>
      <c r="M173"/>
      <c r="N173"/>
      <c r="O173"/>
    </row>
    <row r="174" spans="1:15" s="32" customFormat="1">
      <c r="A174"/>
      <c r="B174" t="s">
        <v>528</v>
      </c>
      <c r="K174"/>
      <c r="L174"/>
      <c r="M174"/>
      <c r="N174"/>
      <c r="O174"/>
    </row>
    <row r="175" spans="1:15" s="32" customFormat="1">
      <c r="A175"/>
      <c r="B175" t="s">
        <v>529</v>
      </c>
      <c r="K175"/>
      <c r="L175"/>
      <c r="M175"/>
      <c r="N175"/>
      <c r="O175"/>
    </row>
    <row r="176" spans="1:15" s="32" customFormat="1">
      <c r="A176"/>
      <c r="B176" t="s">
        <v>530</v>
      </c>
      <c r="K176"/>
      <c r="L176"/>
      <c r="M176"/>
      <c r="N176"/>
      <c r="O176"/>
    </row>
    <row r="177" spans="1:15" s="32" customFormat="1">
      <c r="A177"/>
      <c r="B177" t="s">
        <v>518</v>
      </c>
      <c r="K177"/>
      <c r="L177"/>
      <c r="M177"/>
      <c r="N177"/>
      <c r="O177"/>
    </row>
    <row r="178" spans="1:15" s="32" customFormat="1">
      <c r="A178"/>
      <c r="B178" t="s">
        <v>531</v>
      </c>
      <c r="K178"/>
      <c r="L178"/>
      <c r="M178"/>
      <c r="N178"/>
      <c r="O178"/>
    </row>
    <row r="179" spans="1:15" s="32" customFormat="1">
      <c r="A179"/>
      <c r="B179" t="s">
        <v>581</v>
      </c>
      <c r="K179"/>
      <c r="L179"/>
      <c r="M179"/>
      <c r="N179"/>
      <c r="O179"/>
    </row>
    <row r="180" spans="1:15" s="32" customFormat="1">
      <c r="A180"/>
      <c r="B180" t="s">
        <v>520</v>
      </c>
      <c r="K180"/>
      <c r="L180"/>
      <c r="M180"/>
      <c r="N180"/>
      <c r="O180"/>
    </row>
    <row r="181" spans="1:15" s="32" customFormat="1">
      <c r="A181"/>
      <c r="B181" t="s">
        <v>532</v>
      </c>
      <c r="K181"/>
      <c r="L181"/>
      <c r="M181"/>
      <c r="N181"/>
      <c r="O181"/>
    </row>
    <row r="182" spans="1:15" s="32" customFormat="1">
      <c r="A182"/>
      <c r="B182" t="s">
        <v>241</v>
      </c>
      <c r="C182" s="32" t="s">
        <v>582</v>
      </c>
      <c r="D182" s="32" t="s">
        <v>583</v>
      </c>
      <c r="E182" s="32" t="s">
        <v>533</v>
      </c>
      <c r="F182" s="32" t="s">
        <v>534</v>
      </c>
      <c r="K182"/>
      <c r="L182"/>
      <c r="M182"/>
      <c r="N182"/>
      <c r="O182"/>
    </row>
    <row r="183" spans="1:15" s="32" customFormat="1">
      <c r="A183"/>
      <c r="B183" t="s">
        <v>70</v>
      </c>
      <c r="C183" s="32">
        <v>1071</v>
      </c>
      <c r="D183" s="32">
        <v>547.9</v>
      </c>
      <c r="E183" s="32">
        <v>0.22500000000000001</v>
      </c>
      <c r="F183" s="32">
        <v>2.0922999999999998</v>
      </c>
      <c r="K183"/>
      <c r="L183"/>
      <c r="M183"/>
      <c r="N183"/>
      <c r="O183"/>
    </row>
    <row r="184" spans="1:15" s="32" customFormat="1">
      <c r="A184"/>
      <c r="B184" t="s">
        <v>4</v>
      </c>
      <c r="C184" s="32">
        <v>493</v>
      </c>
      <c r="D184" s="32">
        <v>227.6</v>
      </c>
      <c r="E184" s="32">
        <v>0.04</v>
      </c>
      <c r="F184" s="32">
        <v>16.343</v>
      </c>
      <c r="K184"/>
      <c r="L184"/>
      <c r="M184"/>
      <c r="N184"/>
      <c r="O184"/>
    </row>
    <row r="185" spans="1:15" s="32" customFormat="1">
      <c r="A185"/>
      <c r="B185" t="s">
        <v>5</v>
      </c>
      <c r="C185" s="32">
        <v>667.8</v>
      </c>
      <c r="D185" s="32">
        <v>343.37</v>
      </c>
      <c r="E185" s="32">
        <v>1.04E-2</v>
      </c>
      <c r="F185" s="32">
        <v>7.1550000000000002</v>
      </c>
      <c r="K185"/>
      <c r="L185"/>
      <c r="M185"/>
      <c r="N185"/>
      <c r="O185"/>
    </row>
    <row r="186" spans="1:15" s="32" customFormat="1">
      <c r="A186"/>
      <c r="B186" t="s">
        <v>6</v>
      </c>
      <c r="C186" s="32">
        <v>707.8</v>
      </c>
      <c r="D186" s="32">
        <v>550.09</v>
      </c>
      <c r="E186" s="32">
        <v>9.8599999999999993E-2</v>
      </c>
      <c r="F186" s="32">
        <v>1.236</v>
      </c>
      <c r="K186"/>
      <c r="L186"/>
      <c r="M186"/>
      <c r="N186"/>
      <c r="O186"/>
    </row>
    <row r="187" spans="1:15" s="32" customFormat="1">
      <c r="A187"/>
      <c r="B187" t="s">
        <v>7</v>
      </c>
      <c r="C187" s="32">
        <v>616.29999999999995</v>
      </c>
      <c r="D187" s="32">
        <v>666.01</v>
      </c>
      <c r="E187" s="32">
        <v>0.1542</v>
      </c>
      <c r="F187" s="32">
        <v>0.34899999999999998</v>
      </c>
      <c r="K187"/>
      <c r="L187"/>
      <c r="M187"/>
      <c r="N187"/>
      <c r="O187"/>
    </row>
    <row r="188" spans="1:15" s="32" customFormat="1">
      <c r="A188"/>
      <c r="B188" t="s">
        <v>560</v>
      </c>
      <c r="C188" s="32">
        <v>529.1</v>
      </c>
      <c r="D188" s="32">
        <v>734.98</v>
      </c>
      <c r="E188" s="32">
        <v>0.18479999999999999</v>
      </c>
      <c r="F188" s="32">
        <v>0.14399999999999999</v>
      </c>
      <c r="K188"/>
      <c r="L188"/>
      <c r="M188"/>
      <c r="N188"/>
      <c r="O188"/>
    </row>
    <row r="189" spans="1:15" s="32" customFormat="1">
      <c r="A189"/>
      <c r="B189" t="s">
        <v>561</v>
      </c>
      <c r="C189" s="32">
        <v>550.70000000000005</v>
      </c>
      <c r="D189" s="32">
        <v>765.65</v>
      </c>
      <c r="E189" s="32">
        <v>0.20100000000000001</v>
      </c>
      <c r="F189" s="32">
        <v>0.106</v>
      </c>
      <c r="K189"/>
      <c r="L189"/>
      <c r="M189"/>
      <c r="N189"/>
      <c r="O189"/>
    </row>
    <row r="190" spans="1:15" s="32" customFormat="1">
      <c r="A190"/>
      <c r="B190" t="s">
        <v>562</v>
      </c>
      <c r="C190" s="32">
        <v>490.4</v>
      </c>
      <c r="D190" s="32">
        <v>829.1</v>
      </c>
      <c r="E190" s="32">
        <v>0.2223</v>
      </c>
      <c r="F190" s="32">
        <v>4.5999999999999999E-2</v>
      </c>
      <c r="K190"/>
      <c r="L190"/>
      <c r="M190"/>
      <c r="N190"/>
      <c r="O190"/>
    </row>
    <row r="191" spans="1:15" s="32" customFormat="1">
      <c r="A191"/>
      <c r="B191" t="s">
        <v>563</v>
      </c>
      <c r="C191" s="32">
        <v>488.6</v>
      </c>
      <c r="D191" s="32">
        <v>845.7</v>
      </c>
      <c r="E191" s="32">
        <v>0.25390000000000001</v>
      </c>
      <c r="F191" s="32">
        <v>3.5999999999999997E-2</v>
      </c>
      <c r="K191"/>
      <c r="L191"/>
      <c r="M191"/>
      <c r="N191"/>
      <c r="O191"/>
    </row>
    <row r="192" spans="1:15" s="32" customFormat="1">
      <c r="A192"/>
      <c r="B192" t="s">
        <v>115</v>
      </c>
      <c r="C192" s="32">
        <v>436.9</v>
      </c>
      <c r="D192" s="32">
        <v>913.7</v>
      </c>
      <c r="E192" s="32">
        <v>0.30070000000000002</v>
      </c>
      <c r="F192" s="32">
        <v>1.2999999999999999E-2</v>
      </c>
      <c r="K192"/>
      <c r="L192"/>
      <c r="M192"/>
      <c r="N192"/>
      <c r="O192"/>
    </row>
    <row r="193" spans="1:15" s="32" customFormat="1">
      <c r="A193"/>
      <c r="B193" t="s">
        <v>339</v>
      </c>
      <c r="C193" s="32">
        <v>320.3</v>
      </c>
      <c r="D193" s="32">
        <v>1139.4000000000001</v>
      </c>
      <c r="E193" s="32">
        <v>0.50690000000000002</v>
      </c>
      <c r="F193" s="32">
        <v>2.9E-4</v>
      </c>
      <c r="K193"/>
      <c r="L193"/>
      <c r="M193"/>
      <c r="N193"/>
      <c r="O193"/>
    </row>
    <row r="194" spans="1:15" s="32" customFormat="1">
      <c r="A194"/>
      <c r="B194" t="s">
        <v>528</v>
      </c>
      <c r="K194"/>
      <c r="L194"/>
      <c r="M194"/>
      <c r="N194"/>
      <c r="O194"/>
    </row>
    <row r="196" spans="1:15" s="32" customFormat="1">
      <c r="A196"/>
      <c r="B196" t="s">
        <v>518</v>
      </c>
      <c r="K196"/>
      <c r="L196"/>
      <c r="M196"/>
      <c r="N196"/>
      <c r="O196"/>
    </row>
    <row r="197" spans="1:15" s="32" customFormat="1">
      <c r="A197"/>
      <c r="B197" t="s">
        <v>535</v>
      </c>
      <c r="K197"/>
      <c r="L197"/>
      <c r="M197"/>
      <c r="N197"/>
      <c r="O197"/>
    </row>
    <row r="198" spans="1:15" s="32" customFormat="1">
      <c r="A198"/>
      <c r="B198" t="s">
        <v>536</v>
      </c>
      <c r="K198"/>
      <c r="L198"/>
      <c r="M198"/>
      <c r="N198"/>
      <c r="O198"/>
    </row>
    <row r="200" spans="1:15" s="32" customFormat="1">
      <c r="A200"/>
      <c r="B200" t="s">
        <v>520</v>
      </c>
      <c r="K200"/>
      <c r="L200"/>
      <c r="M200"/>
      <c r="N200"/>
      <c r="O200"/>
    </row>
    <row r="201" spans="1:15" s="32" customFormat="1">
      <c r="A201"/>
      <c r="B201" t="s">
        <v>537</v>
      </c>
      <c r="K201"/>
      <c r="L201"/>
      <c r="M201"/>
      <c r="N201"/>
      <c r="O201"/>
    </row>
    <row r="202" spans="1:15" s="32" customFormat="1">
      <c r="A202"/>
      <c r="B202" t="s">
        <v>538</v>
      </c>
      <c r="K202"/>
      <c r="L202"/>
      <c r="M202"/>
      <c r="N202"/>
      <c r="O202"/>
    </row>
    <row r="204" spans="1:15" s="32" customFormat="1">
      <c r="A204"/>
      <c r="B204" t="s">
        <v>539</v>
      </c>
      <c r="K204"/>
      <c r="L204"/>
      <c r="M204"/>
      <c r="N204"/>
      <c r="O204"/>
    </row>
    <row r="205" spans="1:15" s="32" customFormat="1">
      <c r="A205"/>
      <c r="B205" t="s">
        <v>584</v>
      </c>
      <c r="K205"/>
      <c r="L205"/>
      <c r="M205"/>
      <c r="N205"/>
      <c r="O205"/>
    </row>
    <row r="206" spans="1:15" s="32" customFormat="1">
      <c r="A206"/>
      <c r="B206" t="s">
        <v>540</v>
      </c>
      <c r="K206"/>
      <c r="L206"/>
      <c r="M206"/>
      <c r="N206"/>
      <c r="O206"/>
    </row>
    <row r="208" spans="1:15" s="32" customFormat="1">
      <c r="A208"/>
      <c r="B208" t="s">
        <v>541</v>
      </c>
      <c r="K208"/>
      <c r="L208"/>
      <c r="M208"/>
      <c r="N208"/>
      <c r="O208"/>
    </row>
    <row r="209" spans="1:15" s="32" customFormat="1">
      <c r="A209"/>
      <c r="B209" t="s">
        <v>542</v>
      </c>
      <c r="K209"/>
      <c r="L209"/>
      <c r="M209"/>
      <c r="N209"/>
      <c r="O209"/>
    </row>
    <row r="210" spans="1:15" s="32" customFormat="1">
      <c r="A210"/>
      <c r="B210" t="s">
        <v>543</v>
      </c>
      <c r="C210" s="32" t="s">
        <v>543</v>
      </c>
      <c r="D210" s="32" t="s">
        <v>543</v>
      </c>
      <c r="E210" s="32" t="s">
        <v>585</v>
      </c>
      <c r="F210" s="32" t="s">
        <v>586</v>
      </c>
      <c r="K210"/>
      <c r="L210"/>
      <c r="M210"/>
      <c r="N210"/>
      <c r="O210"/>
    </row>
    <row r="211" spans="1:15" s="32" customFormat="1">
      <c r="A211"/>
      <c r="B211" t="s">
        <v>241</v>
      </c>
      <c r="C211" s="32" t="s">
        <v>558</v>
      </c>
      <c r="D211" s="32" t="s">
        <v>587</v>
      </c>
      <c r="E211" s="32" t="s">
        <v>544</v>
      </c>
      <c r="F211" s="32" t="s">
        <v>545</v>
      </c>
      <c r="K211"/>
      <c r="L211"/>
      <c r="M211"/>
      <c r="N211"/>
      <c r="O211"/>
    </row>
    <row r="212" spans="1:15" s="32" customFormat="1">
      <c r="A212"/>
      <c r="B212" t="s">
        <v>70</v>
      </c>
      <c r="C212" s="32">
        <v>652</v>
      </c>
      <c r="D212" s="32">
        <v>194</v>
      </c>
      <c r="E212" s="32">
        <v>2.2919999999999998</v>
      </c>
      <c r="F212" s="32">
        <v>2.3439999999999999</v>
      </c>
      <c r="K212"/>
      <c r="L212"/>
      <c r="M212"/>
      <c r="N212"/>
      <c r="O212"/>
    </row>
    <row r="213" spans="1:15" s="32" customFormat="1">
      <c r="A213"/>
      <c r="B213" t="s">
        <v>4</v>
      </c>
      <c r="C213" s="32">
        <v>470</v>
      </c>
      <c r="D213" s="32">
        <v>109</v>
      </c>
      <c r="E213" s="32">
        <v>3.5409999999999999</v>
      </c>
      <c r="F213" s="32">
        <v>16.811</v>
      </c>
      <c r="K213"/>
      <c r="L213"/>
      <c r="M213"/>
      <c r="N213"/>
      <c r="O213"/>
    </row>
    <row r="214" spans="1:15" s="32" customFormat="1">
      <c r="A214"/>
      <c r="B214" t="s">
        <v>5</v>
      </c>
      <c r="C214" s="32">
        <v>300</v>
      </c>
      <c r="D214" s="32">
        <v>94</v>
      </c>
      <c r="E214" s="32">
        <v>2.7</v>
      </c>
      <c r="F214" s="32">
        <v>4.4619999999999997</v>
      </c>
      <c r="K214"/>
      <c r="L214"/>
      <c r="M214"/>
      <c r="N214"/>
      <c r="O214"/>
    </row>
    <row r="215" spans="1:15" s="32" customFormat="1">
      <c r="A215"/>
      <c r="B215" t="s">
        <v>6</v>
      </c>
      <c r="C215" s="32">
        <v>1145</v>
      </c>
      <c r="D215" s="32">
        <v>303</v>
      </c>
      <c r="E215" s="32">
        <v>1.9019999999999999</v>
      </c>
      <c r="F215" s="32">
        <v>1.2669999999999999</v>
      </c>
      <c r="K215"/>
      <c r="L215"/>
      <c r="M215"/>
      <c r="N215"/>
      <c r="O215"/>
    </row>
    <row r="216" spans="1:15" s="32" customFormat="1">
      <c r="A216"/>
      <c r="B216" t="s">
        <v>7</v>
      </c>
      <c r="C216" s="32">
        <v>1799</v>
      </c>
      <c r="D216" s="32">
        <v>416</v>
      </c>
      <c r="E216" s="32">
        <v>1.375</v>
      </c>
      <c r="F216" s="32">
        <v>0.55200000000000005</v>
      </c>
      <c r="K216"/>
      <c r="L216"/>
      <c r="M216"/>
      <c r="N216"/>
      <c r="O216"/>
    </row>
    <row r="217" spans="1:15" s="32" customFormat="1">
      <c r="A217"/>
      <c r="B217" t="s">
        <v>560</v>
      </c>
      <c r="C217" s="32">
        <v>2037</v>
      </c>
      <c r="D217" s="32">
        <v>471</v>
      </c>
      <c r="E217" s="32">
        <v>0.98499999999999999</v>
      </c>
      <c r="F217" s="32">
        <v>0.29799999999999999</v>
      </c>
      <c r="K217"/>
      <c r="L217"/>
      <c r="M217"/>
      <c r="N217"/>
      <c r="O217"/>
    </row>
    <row r="218" spans="1:15" s="32" customFormat="1">
      <c r="A218"/>
      <c r="B218" t="s">
        <v>561</v>
      </c>
      <c r="C218" s="32">
        <v>2153</v>
      </c>
      <c r="D218" s="32">
        <v>491</v>
      </c>
      <c r="E218" s="32">
        <v>0.85499999999999998</v>
      </c>
      <c r="F218" s="32">
        <v>0.24299999999999999</v>
      </c>
      <c r="K218"/>
      <c r="L218"/>
      <c r="M218"/>
      <c r="N218"/>
      <c r="O218"/>
    </row>
    <row r="219" spans="1:15" s="32" customFormat="1">
      <c r="A219"/>
      <c r="B219" t="s">
        <v>562</v>
      </c>
      <c r="C219" s="32">
        <v>2368</v>
      </c>
      <c r="D219" s="32">
        <v>542</v>
      </c>
      <c r="E219" s="32">
        <v>0.48699999999999999</v>
      </c>
      <c r="F219" s="32">
        <v>0.13600000000000001</v>
      </c>
      <c r="K219"/>
      <c r="L219"/>
      <c r="M219"/>
      <c r="N219"/>
      <c r="O219"/>
    </row>
    <row r="220" spans="1:15" s="32" customFormat="1">
      <c r="A220"/>
      <c r="B220" t="s">
        <v>563</v>
      </c>
      <c r="C220" s="32">
        <v>2480</v>
      </c>
      <c r="D220" s="32">
        <v>557</v>
      </c>
      <c r="E220" s="32">
        <v>0.38700000000000001</v>
      </c>
      <c r="F220" s="32">
        <v>0.11600000000000001</v>
      </c>
      <c r="K220"/>
      <c r="L220"/>
      <c r="M220"/>
      <c r="N220"/>
      <c r="O220"/>
    </row>
    <row r="221" spans="1:15" s="32" customFormat="1">
      <c r="A221"/>
      <c r="B221" t="s">
        <v>115</v>
      </c>
      <c r="C221" s="32">
        <v>2738</v>
      </c>
      <c r="D221" s="32">
        <v>610</v>
      </c>
      <c r="E221" s="32">
        <v>0</v>
      </c>
      <c r="F221" s="32">
        <v>6.3E-2</v>
      </c>
      <c r="K221"/>
      <c r="L221"/>
      <c r="M221"/>
      <c r="N221"/>
      <c r="O221"/>
    </row>
    <row r="222" spans="1:15" s="32" customFormat="1">
      <c r="A222"/>
      <c r="B222" t="s">
        <v>339</v>
      </c>
      <c r="C222" s="32">
        <v>3833.3690000000001</v>
      </c>
      <c r="D222" s="32">
        <v>803.41</v>
      </c>
      <c r="E222" s="32" t="s">
        <v>546</v>
      </c>
      <c r="F222" s="32">
        <v>5.7999999999999996E-3</v>
      </c>
      <c r="K222"/>
      <c r="L222"/>
      <c r="M222"/>
      <c r="N222"/>
      <c r="O222"/>
    </row>
    <row r="224" spans="1:15" s="32" customFormat="1">
      <c r="A224"/>
      <c r="B224" t="s">
        <v>547</v>
      </c>
      <c r="K224"/>
      <c r="L224"/>
      <c r="M224"/>
      <c r="N224"/>
      <c r="O224"/>
    </row>
    <row r="225" spans="1:15" s="32" customFormat="1">
      <c r="A225"/>
      <c r="B225" t="s">
        <v>548</v>
      </c>
      <c r="K225"/>
      <c r="L225"/>
      <c r="M225"/>
      <c r="N225"/>
      <c r="O225"/>
    </row>
    <row r="226" spans="1:15" s="32" customFormat="1">
      <c r="A226"/>
      <c r="B226" t="s">
        <v>549</v>
      </c>
      <c r="K226"/>
      <c r="L226"/>
      <c r="M226"/>
      <c r="N226"/>
      <c r="O226"/>
    </row>
    <row r="227" spans="1:15" s="32" customFormat="1">
      <c r="A227"/>
      <c r="B227" t="s">
        <v>550</v>
      </c>
      <c r="K227"/>
      <c r="L227"/>
      <c r="M227"/>
      <c r="N227"/>
      <c r="O227"/>
    </row>
    <row r="228" spans="1:15" s="32" customFormat="1">
      <c r="A228"/>
      <c r="B228" t="s">
        <v>551</v>
      </c>
      <c r="K228"/>
      <c r="L228"/>
      <c r="M228"/>
      <c r="N228"/>
      <c r="O228"/>
    </row>
    <row r="229" spans="1:15" s="32" customFormat="1">
      <c r="A229"/>
      <c r="B229" t="s">
        <v>552</v>
      </c>
      <c r="K229"/>
      <c r="L229"/>
      <c r="M229"/>
      <c r="N229"/>
      <c r="O229"/>
    </row>
    <row r="230" spans="1:15" s="32" customFormat="1">
      <c r="A230"/>
      <c r="B230" t="s">
        <v>553</v>
      </c>
      <c r="K230"/>
      <c r="L230"/>
      <c r="M230"/>
      <c r="N230"/>
      <c r="O230"/>
    </row>
    <row r="231" spans="1:15" s="32" customFormat="1">
      <c r="A231"/>
      <c r="B231" t="s">
        <v>554</v>
      </c>
      <c r="K231"/>
      <c r="L231"/>
      <c r="M231"/>
      <c r="N231"/>
      <c r="O231"/>
    </row>
    <row r="232" spans="1:15" s="32" customFormat="1">
      <c r="A232"/>
      <c r="B232" t="s">
        <v>588</v>
      </c>
      <c r="K232"/>
      <c r="L232"/>
      <c r="M232"/>
      <c r="N232"/>
      <c r="O232"/>
    </row>
    <row r="233" spans="1:15" s="32" customFormat="1">
      <c r="A233"/>
      <c r="B233" t="s">
        <v>241</v>
      </c>
      <c r="C233" s="32" t="s">
        <v>579</v>
      </c>
      <c r="D233" s="32" t="s">
        <v>586</v>
      </c>
      <c r="E233" s="32" t="s">
        <v>589</v>
      </c>
      <c r="F233" s="32" t="s">
        <v>590</v>
      </c>
      <c r="G233" s="32" t="s">
        <v>591</v>
      </c>
      <c r="K233"/>
      <c r="L233"/>
      <c r="M233"/>
      <c r="N233"/>
      <c r="O233"/>
    </row>
    <row r="234" spans="1:15" s="32" customFormat="1">
      <c r="A234"/>
      <c r="B234" t="s">
        <v>70</v>
      </c>
      <c r="C234" s="32">
        <v>8.0000000000000004E-4</v>
      </c>
      <c r="D234" s="32">
        <v>3.5089999999999999</v>
      </c>
      <c r="E234" s="32">
        <v>5.0000000000000001E-4</v>
      </c>
      <c r="F234" s="32">
        <v>1.8E-3</v>
      </c>
      <c r="G234" s="32">
        <v>44</v>
      </c>
      <c r="K234"/>
      <c r="L234"/>
      <c r="M234"/>
      <c r="N234"/>
      <c r="O234"/>
    </row>
    <row r="235" spans="1:15" s="32" customFormat="1">
      <c r="A235"/>
      <c r="B235" t="s">
        <v>4</v>
      </c>
      <c r="C235" s="32">
        <v>1.6400000000000001E-2</v>
      </c>
      <c r="D235" s="32">
        <v>39.9</v>
      </c>
      <c r="E235" s="32">
        <v>1.4E-3</v>
      </c>
      <c r="F235" s="32">
        <v>5.5199999999999999E-2</v>
      </c>
      <c r="G235" s="32">
        <v>28</v>
      </c>
      <c r="K235"/>
      <c r="L235"/>
      <c r="M235"/>
      <c r="N235"/>
      <c r="O235"/>
    </row>
    <row r="236" spans="1:15" s="32" customFormat="1">
      <c r="A236"/>
      <c r="B236" t="s">
        <v>5</v>
      </c>
      <c r="C236" s="32">
        <v>0.28399999999999997</v>
      </c>
      <c r="D236" s="32">
        <v>8.85</v>
      </c>
      <c r="E236" s="32">
        <v>8.8999999999999996E-2</v>
      </c>
      <c r="F236" s="32">
        <v>0.78769999999999996</v>
      </c>
      <c r="G236" s="32">
        <v>16</v>
      </c>
      <c r="K236"/>
      <c r="L236"/>
      <c r="M236"/>
      <c r="N236"/>
      <c r="O236"/>
    </row>
    <row r="237" spans="1:15" s="32" customFormat="1">
      <c r="A237"/>
      <c r="B237" t="s">
        <v>6</v>
      </c>
      <c r="C237" s="32">
        <v>7.1599999999999997E-2</v>
      </c>
      <c r="D237" s="32">
        <v>1.349</v>
      </c>
      <c r="E237" s="32">
        <v>6.5199999999999994E-2</v>
      </c>
      <c r="F237" s="32">
        <v>8.7999999999999995E-2</v>
      </c>
      <c r="G237" s="32">
        <v>30</v>
      </c>
      <c r="K237"/>
      <c r="L237"/>
      <c r="M237"/>
      <c r="N237"/>
      <c r="O237"/>
    </row>
    <row r="238" spans="1:15" s="32" customFormat="1">
      <c r="A238"/>
      <c r="B238" t="s">
        <v>7</v>
      </c>
      <c r="C238" s="32">
        <v>0.1048</v>
      </c>
      <c r="D238" s="32">
        <v>0.373</v>
      </c>
      <c r="E238" s="32">
        <v>0.127</v>
      </c>
      <c r="F238" s="32">
        <v>4.7399999999999998E-2</v>
      </c>
      <c r="G238" s="32">
        <v>44</v>
      </c>
      <c r="K238"/>
      <c r="L238"/>
      <c r="M238"/>
      <c r="N238"/>
      <c r="O238"/>
    </row>
    <row r="239" spans="1:15" s="32" customFormat="1">
      <c r="A239"/>
      <c r="B239" t="s">
        <v>592</v>
      </c>
      <c r="C239" s="32">
        <v>4.2000000000000003E-2</v>
      </c>
      <c r="D239" s="32">
        <v>0.161</v>
      </c>
      <c r="E239" s="32">
        <v>5.4800000000000001E-2</v>
      </c>
      <c r="F239" s="32">
        <v>8.8000000000000005E-3</v>
      </c>
      <c r="G239" s="32">
        <v>58</v>
      </c>
      <c r="K239"/>
      <c r="L239"/>
      <c r="M239"/>
      <c r="N239"/>
      <c r="O239"/>
    </row>
    <row r="240" spans="1:15" s="32" customFormat="1">
      <c r="A240"/>
      <c r="B240" t="s">
        <v>593</v>
      </c>
      <c r="C240" s="32">
        <v>4.2000000000000003E-2</v>
      </c>
      <c r="D240" s="32">
        <v>0.12</v>
      </c>
      <c r="E240" s="32">
        <v>5.57E-2</v>
      </c>
      <c r="F240" s="32">
        <v>6.7000000000000002E-3</v>
      </c>
      <c r="G240" s="32">
        <v>58</v>
      </c>
      <c r="K240"/>
      <c r="L240"/>
      <c r="M240"/>
      <c r="N240"/>
      <c r="O240"/>
    </row>
    <row r="241" spans="1:15" s="32" customFormat="1">
      <c r="A241"/>
      <c r="B241" t="s">
        <v>594</v>
      </c>
      <c r="C241" s="32">
        <v>1.9099999999999999E-2</v>
      </c>
      <c r="D241" s="32">
        <v>5.3999999999999999E-2</v>
      </c>
      <c r="E241" s="32">
        <v>2.5899999999999999E-2</v>
      </c>
      <c r="F241" s="32">
        <v>1.4E-3</v>
      </c>
      <c r="G241" s="32">
        <v>72</v>
      </c>
      <c r="K241"/>
      <c r="L241"/>
      <c r="M241"/>
      <c r="N241"/>
      <c r="O241"/>
    </row>
    <row r="242" spans="1:15" s="32" customFormat="1">
      <c r="A242"/>
      <c r="B242" t="s">
        <v>595</v>
      </c>
      <c r="C242" s="32">
        <v>1.9099999999999999E-2</v>
      </c>
      <c r="D242" s="32">
        <v>4.2999999999999997E-2</v>
      </c>
      <c r="E242" s="32">
        <v>2.6100000000000002E-2</v>
      </c>
      <c r="F242" s="32">
        <v>1.1000000000000001E-3</v>
      </c>
      <c r="G242" s="32">
        <v>72</v>
      </c>
      <c r="K242"/>
      <c r="L242"/>
      <c r="M242"/>
      <c r="N242"/>
      <c r="O242"/>
    </row>
    <row r="243" spans="1:15" s="32" customFormat="1">
      <c r="A243"/>
      <c r="B243" t="s">
        <v>115</v>
      </c>
      <c r="C243" s="32">
        <v>4.0500000000000001E-2</v>
      </c>
      <c r="D243" s="32">
        <v>1.7999999999999999E-2</v>
      </c>
      <c r="E243" s="32">
        <v>5.5800000000000002E-2</v>
      </c>
      <c r="F243" s="32">
        <v>1E-3</v>
      </c>
      <c r="G243" s="32">
        <v>86</v>
      </c>
      <c r="K243"/>
      <c r="L243"/>
      <c r="M243"/>
      <c r="N243"/>
      <c r="O243"/>
    </row>
    <row r="244" spans="1:15" s="32" customFormat="1">
      <c r="A244"/>
      <c r="B244" t="s">
        <v>339</v>
      </c>
      <c r="C244" s="32">
        <v>0.35970000000000002</v>
      </c>
      <c r="D244" s="32">
        <v>2.0999999999999999E-3</v>
      </c>
      <c r="E244" s="32">
        <v>0.49859999999999999</v>
      </c>
      <c r="F244" s="32">
        <v>8.9999999999999998E-4</v>
      </c>
      <c r="G244" s="32">
        <v>252</v>
      </c>
      <c r="K244"/>
      <c r="L244"/>
      <c r="M244"/>
      <c r="N244"/>
      <c r="O244"/>
    </row>
    <row r="245" spans="1:15" s="32" customFormat="1">
      <c r="A245"/>
      <c r="B245"/>
      <c r="K245"/>
      <c r="L245"/>
      <c r="M245"/>
      <c r="N245"/>
      <c r="O245"/>
    </row>
    <row r="246" spans="1:15" s="32" customFormat="1">
      <c r="A246"/>
      <c r="B246"/>
      <c r="K246"/>
      <c r="L246"/>
      <c r="M246"/>
      <c r="N246"/>
      <c r="O246"/>
    </row>
    <row r="247" spans="1:15" s="32" customFormat="1" ht="18.75">
      <c r="A247"/>
      <c r="B247" s="268" t="s">
        <v>746</v>
      </c>
      <c r="K247"/>
      <c r="L247"/>
      <c r="M247"/>
      <c r="N247"/>
      <c r="O247"/>
    </row>
    <row r="249" spans="1:15">
      <c r="B249" t="s">
        <v>747</v>
      </c>
    </row>
    <row r="250" spans="1:15">
      <c r="B250" t="s">
        <v>748</v>
      </c>
    </row>
    <row r="252" spans="1:15" ht="15.75" thickBot="1">
      <c r="D252" s="390"/>
      <c r="E252" s="390" t="s">
        <v>100</v>
      </c>
      <c r="F252" s="390"/>
    </row>
    <row r="253" spans="1:15">
      <c r="B253" s="214" t="s">
        <v>749</v>
      </c>
      <c r="C253" s="214" t="s">
        <v>476</v>
      </c>
      <c r="D253" s="214" t="s">
        <v>750</v>
      </c>
      <c r="E253" s="214" t="s">
        <v>362</v>
      </c>
      <c r="F253" s="214" t="s">
        <v>363</v>
      </c>
    </row>
    <row r="254" spans="1:15">
      <c r="B254" s="148">
        <v>40</v>
      </c>
      <c r="C254" s="148">
        <v>1000</v>
      </c>
      <c r="D254" s="148">
        <v>0.96599999999999997</v>
      </c>
      <c r="E254" s="148">
        <v>0.96789999999999998</v>
      </c>
      <c r="F254" s="148">
        <v>0.86890000000000001</v>
      </c>
    </row>
    <row r="255" spans="1:15">
      <c r="B255" s="148">
        <v>40</v>
      </c>
      <c r="C255" s="148">
        <v>800</v>
      </c>
      <c r="D255" s="148">
        <v>0.97</v>
      </c>
      <c r="E255" s="148">
        <v>0.96950000000000003</v>
      </c>
      <c r="F255" s="148">
        <v>0.90649999999999997</v>
      </c>
    </row>
    <row r="256" spans="1:15">
      <c r="B256" s="148">
        <v>40</v>
      </c>
      <c r="C256" s="148">
        <v>600</v>
      </c>
      <c r="D256" s="148">
        <v>0.97899999999999998</v>
      </c>
      <c r="E256" s="148">
        <v>0.97719999999999996</v>
      </c>
      <c r="F256" s="148">
        <v>0.94079999999999997</v>
      </c>
    </row>
    <row r="257" spans="2:6">
      <c r="B257" s="148">
        <v>40</v>
      </c>
      <c r="C257" s="225">
        <v>400</v>
      </c>
      <c r="D257" s="148">
        <v>0.98899999999999999</v>
      </c>
      <c r="E257" s="148">
        <v>0.98929999999999996</v>
      </c>
      <c r="F257" s="148">
        <v>0.97140000000000004</v>
      </c>
    </row>
    <row r="258" spans="2:6">
      <c r="B258" s="148">
        <v>40</v>
      </c>
      <c r="C258" s="391">
        <v>200</v>
      </c>
      <c r="D258" s="392">
        <v>0.998</v>
      </c>
      <c r="E258" s="392">
        <v>1</v>
      </c>
      <c r="F258" s="148">
        <v>0.99509999999999998</v>
      </c>
    </row>
    <row r="259" spans="2:6">
      <c r="B259" s="148"/>
      <c r="C259" s="148"/>
      <c r="D259" s="148"/>
      <c r="E259" s="148"/>
      <c r="F259" s="148"/>
    </row>
    <row r="260" spans="2:6">
      <c r="B260" s="148"/>
      <c r="C260" s="148"/>
      <c r="D260" s="148"/>
      <c r="E260" s="148"/>
      <c r="F260" s="148"/>
    </row>
    <row r="261" spans="2:6">
      <c r="B261" s="148"/>
      <c r="C261" s="148"/>
      <c r="D261" s="148"/>
      <c r="E261" s="148"/>
      <c r="F261" s="148"/>
    </row>
    <row r="269" spans="2:6" ht="15.75" thickBot="1">
      <c r="B269" s="148"/>
      <c r="C269" s="148"/>
      <c r="D269" s="390"/>
      <c r="E269" s="390" t="s">
        <v>100</v>
      </c>
      <c r="F269" s="390"/>
    </row>
    <row r="270" spans="2:6">
      <c r="B270" s="214" t="s">
        <v>749</v>
      </c>
      <c r="C270" s="214" t="s">
        <v>476</v>
      </c>
      <c r="D270" s="214" t="s">
        <v>750</v>
      </c>
      <c r="E270" s="214" t="s">
        <v>362</v>
      </c>
      <c r="F270" s="214" t="s">
        <v>363</v>
      </c>
    </row>
    <row r="271" spans="2:6">
      <c r="B271" s="148">
        <v>80</v>
      </c>
      <c r="C271" s="148">
        <v>1000</v>
      </c>
      <c r="D271" s="148">
        <v>1</v>
      </c>
      <c r="E271" s="148">
        <v>0.99929999999999997</v>
      </c>
      <c r="F271" s="148">
        <v>0.94140000000000001</v>
      </c>
    </row>
    <row r="272" spans="2:6">
      <c r="B272" s="148">
        <v>80</v>
      </c>
      <c r="C272" s="148">
        <v>800</v>
      </c>
      <c r="D272" s="148">
        <v>1</v>
      </c>
      <c r="E272" s="148">
        <v>0.99890000000000001</v>
      </c>
      <c r="F272" s="148">
        <v>0.96340000000000003</v>
      </c>
    </row>
    <row r="273" spans="2:6">
      <c r="B273" s="148">
        <v>80</v>
      </c>
      <c r="C273" s="148">
        <v>600</v>
      </c>
      <c r="D273" s="148">
        <v>1</v>
      </c>
      <c r="E273" s="148">
        <v>1</v>
      </c>
      <c r="F273" s="148">
        <v>0.98199999999999998</v>
      </c>
    </row>
    <row r="274" spans="2:6">
      <c r="B274" s="148">
        <v>80</v>
      </c>
      <c r="C274" s="225">
        <v>400</v>
      </c>
      <c r="D274" s="148">
        <v>1</v>
      </c>
      <c r="E274" s="148">
        <v>1</v>
      </c>
      <c r="F274" s="148">
        <v>0.99570000000000003</v>
      </c>
    </row>
    <row r="275" spans="2:6">
      <c r="B275" s="148">
        <v>80</v>
      </c>
      <c r="C275" s="391">
        <v>200</v>
      </c>
      <c r="D275" s="392">
        <v>1</v>
      </c>
      <c r="E275" s="392">
        <v>1</v>
      </c>
      <c r="F275" s="148">
        <v>0.99970000000000003</v>
      </c>
    </row>
  </sheetData>
  <mergeCells count="3">
    <mergeCell ref="B11:C11"/>
    <mergeCell ref="W12:Y12"/>
    <mergeCell ref="Z12:AA12"/>
  </mergeCells>
  <hyperlinks>
    <hyperlink ref="B2" r:id="rId1" xr:uid="{7D4BCDC1-8485-4E92-B314-CBB506DD4448}"/>
    <hyperlink ref="B103" r:id="rId2" display="https://www.sciencedirect.com/topics/engineering/standing-correlation" xr:uid="{44D19FE9-5A65-49C0-BD09-BCB671C396F5}"/>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AB855-1FC8-47F4-8C50-6CBF136D6229}">
  <sheetPr>
    <tabColor theme="6" tint="0.39997558519241921"/>
  </sheetPr>
  <dimension ref="A1:BP275"/>
  <sheetViews>
    <sheetView showGridLines="0" zoomScale="85" zoomScaleNormal="85" workbookViewId="0"/>
  </sheetViews>
  <sheetFormatPr defaultRowHeight="15"/>
  <cols>
    <col min="1" max="1" width="7.7109375" customWidth="1"/>
    <col min="2" max="2" width="11.85546875" customWidth="1"/>
    <col min="3" max="3" width="9.5703125" style="32" customWidth="1"/>
    <col min="4" max="4" width="13" style="32" customWidth="1"/>
    <col min="5" max="5" width="12.28515625" style="32" customWidth="1"/>
    <col min="6" max="6" width="11.7109375" style="32" customWidth="1"/>
    <col min="7" max="7" width="12.28515625" style="32" customWidth="1"/>
    <col min="8" max="8" width="9.42578125" style="32" bestFit="1" customWidth="1"/>
    <col min="9" max="9" width="11.85546875" style="32" customWidth="1"/>
    <col min="10" max="10" width="8.7109375" style="32" customWidth="1"/>
    <col min="11" max="11" width="11.42578125" customWidth="1"/>
    <col min="12" max="12" width="12" bestFit="1" customWidth="1"/>
    <col min="13" max="13" width="11.42578125" customWidth="1"/>
    <col min="19" max="19" width="10" customWidth="1"/>
    <col min="27" max="27" width="10.42578125" customWidth="1"/>
    <col min="31" max="31" width="9.85546875" customWidth="1"/>
    <col min="32" max="32" width="12" bestFit="1" customWidth="1"/>
  </cols>
  <sheetData>
    <row r="1" spans="1:31" ht="26.25">
      <c r="B1" s="185" t="s">
        <v>325</v>
      </c>
    </row>
    <row r="2" spans="1:31">
      <c r="B2" s="186" t="s">
        <v>326</v>
      </c>
    </row>
    <row r="3" spans="1:31">
      <c r="B3" s="353" t="s">
        <v>721</v>
      </c>
    </row>
    <row r="4" spans="1:31">
      <c r="A4" s="186"/>
    </row>
    <row r="5" spans="1:31">
      <c r="A5" s="186"/>
      <c r="B5" s="354">
        <f>Drawing!Q32</f>
        <v>1096.9458915271139</v>
      </c>
      <c r="C5" s="147" t="s">
        <v>327</v>
      </c>
      <c r="H5" s="355" t="s">
        <v>107</v>
      </c>
    </row>
    <row r="6" spans="1:31">
      <c r="A6" s="186"/>
      <c r="B6" s="354">
        <f>Drawing!Q35</f>
        <v>87.458333333333329</v>
      </c>
      <c r="C6" s="147" t="s">
        <v>329</v>
      </c>
      <c r="K6" s="32"/>
    </row>
    <row r="7" spans="1:31">
      <c r="A7" s="186"/>
      <c r="B7" s="354">
        <f>Drawing!Q34</f>
        <v>764.99070994396732</v>
      </c>
      <c r="C7" s="147" t="s">
        <v>330</v>
      </c>
    </row>
    <row r="8" spans="1:31">
      <c r="A8" s="186"/>
      <c r="B8" s="354">
        <v>1</v>
      </c>
      <c r="C8" s="147" t="s">
        <v>601</v>
      </c>
    </row>
    <row r="9" spans="1:31">
      <c r="A9" s="186"/>
      <c r="B9" s="2"/>
      <c r="C9" s="147" t="s">
        <v>722</v>
      </c>
    </row>
    <row r="10" spans="1:31">
      <c r="A10" s="186"/>
      <c r="B10" s="2"/>
      <c r="C10" s="147"/>
    </row>
    <row r="11" spans="1:31" ht="27.75" customHeight="1">
      <c r="A11" s="186"/>
      <c r="B11" s="356" t="s">
        <v>723</v>
      </c>
      <c r="C11" s="357"/>
      <c r="D11" s="358">
        <f>MIN(C84:BO84)</f>
        <v>0.97</v>
      </c>
    </row>
    <row r="12" spans="1:31">
      <c r="A12" s="186"/>
      <c r="B12" s="2"/>
      <c r="C12" s="147"/>
      <c r="K12" t="s">
        <v>12</v>
      </c>
      <c r="L12" s="359"/>
      <c r="M12" s="360" t="s">
        <v>724</v>
      </c>
      <c r="N12" s="359"/>
      <c r="O12" s="359"/>
      <c r="P12" s="359"/>
      <c r="Q12" s="359"/>
      <c r="R12" s="359"/>
      <c r="S12" s="359"/>
      <c r="T12" s="359"/>
      <c r="U12" s="359"/>
      <c r="V12" s="359"/>
      <c r="W12" s="361"/>
      <c r="X12" s="361"/>
      <c r="Y12" s="361"/>
      <c r="Z12" s="362"/>
      <c r="AA12" s="362"/>
      <c r="AB12" s="359"/>
      <c r="AC12" s="359"/>
      <c r="AD12" s="359"/>
      <c r="AE12" s="359"/>
    </row>
    <row r="13" spans="1:31" ht="45" customHeight="1">
      <c r="A13" s="187"/>
      <c r="B13" s="187"/>
      <c r="C13" s="188" t="s">
        <v>602</v>
      </c>
      <c r="D13" s="188" t="s">
        <v>331</v>
      </c>
      <c r="E13" s="188" t="s">
        <v>332</v>
      </c>
      <c r="F13" s="188" t="s">
        <v>333</v>
      </c>
      <c r="G13" s="188" t="s">
        <v>334</v>
      </c>
      <c r="H13" s="188" t="s">
        <v>335</v>
      </c>
      <c r="I13" s="188" t="s">
        <v>336</v>
      </c>
      <c r="J13" s="188" t="s">
        <v>337</v>
      </c>
      <c r="L13" s="359"/>
      <c r="M13" s="363" t="s">
        <v>725</v>
      </c>
      <c r="N13" s="363" t="s">
        <v>726</v>
      </c>
      <c r="O13" s="364" t="s">
        <v>52</v>
      </c>
      <c r="P13" s="364" t="s">
        <v>53</v>
      </c>
      <c r="Q13" s="365" t="s">
        <v>727</v>
      </c>
      <c r="R13" s="365" t="s">
        <v>728</v>
      </c>
      <c r="S13" s="363" t="s">
        <v>729</v>
      </c>
      <c r="T13" s="363" t="s">
        <v>730</v>
      </c>
      <c r="U13" s="363" t="s">
        <v>731</v>
      </c>
      <c r="V13" s="363" t="s">
        <v>59</v>
      </c>
      <c r="W13" s="363" t="s">
        <v>732</v>
      </c>
      <c r="X13" s="363" t="s">
        <v>733</v>
      </c>
      <c r="Y13" s="366" t="s">
        <v>734</v>
      </c>
      <c r="Z13" s="367" t="s">
        <v>735</v>
      </c>
      <c r="AA13" s="367" t="s">
        <v>736</v>
      </c>
      <c r="AB13" s="363" t="s">
        <v>737</v>
      </c>
      <c r="AC13" s="363" t="s">
        <v>738</v>
      </c>
      <c r="AD13" s="363" t="s">
        <v>739</v>
      </c>
      <c r="AE13" s="363" t="s">
        <v>740</v>
      </c>
    </row>
    <row r="14" spans="1:31">
      <c r="A14">
        <v>1</v>
      </c>
      <c r="B14" s="2" t="s">
        <v>4</v>
      </c>
      <c r="C14" s="152">
        <f t="shared" ref="C14:C25" si="0">IF($B$8=1,L66,K66)</f>
        <v>16.837761511156856</v>
      </c>
      <c r="D14" s="170">
        <f t="shared" ref="D14:D25" si="1">E14*$B$5</f>
        <v>13.170834249948596</v>
      </c>
      <c r="E14" s="368">
        <f>Drawing!Q38</f>
        <v>1.2006822170246531E-2</v>
      </c>
      <c r="F14" s="32">
        <f t="shared" ref="F14:F25" si="2">E14*(C14-1)/(1+mL*(C14-1))</f>
        <v>1.1621677049754192E-2</v>
      </c>
      <c r="G14" s="153">
        <f t="shared" ref="G14:G25" si="3">I14*(1-mL)*$D$26</f>
        <v>2.4167742847186174E-2</v>
      </c>
      <c r="H14" s="11">
        <f>D14-G14</f>
        <v>13.146666507101409</v>
      </c>
      <c r="I14" s="153">
        <f t="shared" ref="I14:I25" si="4">E14/(1-mL+mL*C14)</f>
        <v>7.337954319849647E-4</v>
      </c>
      <c r="J14" s="153">
        <f>I14*C14</f>
        <v>1.2355472481739157E-2</v>
      </c>
      <c r="L14" s="359" t="s">
        <v>4</v>
      </c>
      <c r="M14" s="369">
        <f>E14</f>
        <v>1.2006822170246531E-2</v>
      </c>
      <c r="N14" s="359"/>
      <c r="O14" s="359" t="s">
        <v>4</v>
      </c>
      <c r="P14" s="370">
        <v>28.013000000000002</v>
      </c>
      <c r="Q14" s="371">
        <v>-297.33199999999999</v>
      </c>
      <c r="R14" s="359"/>
      <c r="S14" s="371">
        <v>-346</v>
      </c>
      <c r="T14" s="371">
        <v>493</v>
      </c>
      <c r="U14" s="372">
        <v>-232.7</v>
      </c>
      <c r="V14" s="373">
        <v>0.99997000000000003</v>
      </c>
      <c r="W14" s="373">
        <v>0.80940000000000001</v>
      </c>
      <c r="X14" s="370">
        <f>W14*8.337</f>
        <v>6.7479677999999996</v>
      </c>
      <c r="Y14" s="370">
        <f t="shared" ref="Y14:Y16" si="5">P14/X14</f>
        <v>4.1513238993226977</v>
      </c>
      <c r="Z14" s="373">
        <f>$P14/28.97</f>
        <v>0.96696582671729381</v>
      </c>
      <c r="AA14" s="372">
        <f>13.102/Z14</f>
        <v>13.549599828650983</v>
      </c>
      <c r="AB14" s="374">
        <v>0.24840000000000001</v>
      </c>
      <c r="AC14" s="359"/>
      <c r="AD14" s="359"/>
      <c r="AE14" s="359"/>
    </row>
    <row r="15" spans="1:31">
      <c r="A15">
        <v>2</v>
      </c>
      <c r="B15" s="2" t="s">
        <v>70</v>
      </c>
      <c r="C15" s="152">
        <f t="shared" si="0"/>
        <v>1.392606709417876</v>
      </c>
      <c r="D15" s="170">
        <f t="shared" si="1"/>
        <v>61.024607981837718</v>
      </c>
      <c r="E15" s="368">
        <f>Drawing!Q39</f>
        <v>5.5631374758952128E-2</v>
      </c>
      <c r="F15" s="32">
        <f t="shared" si="2"/>
        <v>1.581749714452169E-2</v>
      </c>
      <c r="G15" s="153">
        <f t="shared" si="3"/>
        <v>1.3269089852539371</v>
      </c>
      <c r="H15" s="11">
        <f>D15-G15</f>
        <v>59.697698996583782</v>
      </c>
      <c r="I15" s="153">
        <f t="shared" si="4"/>
        <v>4.0288402528766087E-2</v>
      </c>
      <c r="J15" s="153">
        <f>I15*C15</f>
        <v>5.6105899673287773E-2</v>
      </c>
      <c r="L15" s="359" t="s">
        <v>70</v>
      </c>
      <c r="M15" s="369">
        <f t="shared" ref="M15:M25" si="6">E15</f>
        <v>5.5631374758952128E-2</v>
      </c>
      <c r="N15" s="359"/>
      <c r="O15" s="359" t="s">
        <v>70</v>
      </c>
      <c r="P15" s="370">
        <v>44.01</v>
      </c>
      <c r="Q15" s="371">
        <v>-109.32</v>
      </c>
      <c r="R15" s="359"/>
      <c r="S15" s="371">
        <v>-69.77</v>
      </c>
      <c r="T15" s="371">
        <v>1071</v>
      </c>
      <c r="U15" s="372">
        <v>87.87</v>
      </c>
      <c r="V15" s="373">
        <v>0.99429999999999996</v>
      </c>
      <c r="W15" s="373">
        <v>0.81759999999999999</v>
      </c>
      <c r="X15" s="370">
        <f t="shared" ref="X15:X26" si="7">W15*8.337</f>
        <v>6.8163311999999996</v>
      </c>
      <c r="Y15" s="370">
        <f t="shared" si="5"/>
        <v>6.4565524632957976</v>
      </c>
      <c r="Z15" s="373">
        <f t="shared" ref="Z15:Z26" si="8">$P15/28.97</f>
        <v>1.5191577493959267</v>
      </c>
      <c r="AA15" s="372">
        <f t="shared" ref="AA15:AA25" si="9">13.102/Z15</f>
        <v>8.6245157918654858</v>
      </c>
      <c r="AB15" s="374">
        <v>0.19900000000000001</v>
      </c>
      <c r="AC15" s="359"/>
      <c r="AD15" s="359"/>
      <c r="AE15" s="359"/>
    </row>
    <row r="16" spans="1:31">
      <c r="A16">
        <v>3</v>
      </c>
      <c r="B16" s="32" t="s">
        <v>2</v>
      </c>
      <c r="C16" s="152">
        <f t="shared" si="0"/>
        <v>0.34649341341232687</v>
      </c>
      <c r="D16" s="170">
        <f t="shared" si="1"/>
        <v>1.0977575479891772E-3</v>
      </c>
      <c r="E16" s="368">
        <f>Drawing!Q40</f>
        <v>1.0007399238816907E-6</v>
      </c>
      <c r="F16" s="32">
        <f t="shared" si="2"/>
        <v>-1.7863769816382732E-6</v>
      </c>
      <c r="G16" s="153">
        <f t="shared" si="3"/>
        <v>9.0029374390265224E-5</v>
      </c>
      <c r="H16" s="11">
        <f>D16-G16</f>
        <v>1.007728173598912E-3</v>
      </c>
      <c r="I16" s="153">
        <f t="shared" si="4"/>
        <v>2.733525596070816E-6</v>
      </c>
      <c r="J16" s="153">
        <f>I16*C16</f>
        <v>9.4714861443254252E-7</v>
      </c>
      <c r="L16" s="359" t="s">
        <v>2</v>
      </c>
      <c r="M16" s="369">
        <f t="shared" si="6"/>
        <v>1.0007399238816907E-6</v>
      </c>
      <c r="N16" s="359"/>
      <c r="O16" s="359" t="s">
        <v>2</v>
      </c>
      <c r="P16" s="370">
        <v>34.076000000000001</v>
      </c>
      <c r="Q16" s="371">
        <v>-76.56</v>
      </c>
      <c r="R16" s="371">
        <v>387.1</v>
      </c>
      <c r="S16" s="371">
        <v>-121.58</v>
      </c>
      <c r="T16" s="371">
        <v>1036</v>
      </c>
      <c r="U16" s="372">
        <v>212.6</v>
      </c>
      <c r="V16" s="373">
        <v>0.99029999999999996</v>
      </c>
      <c r="W16" s="373">
        <v>0.78710000000000002</v>
      </c>
      <c r="X16" s="370">
        <f t="shared" si="7"/>
        <v>6.5620526999999997</v>
      </c>
      <c r="Y16" s="370">
        <f t="shared" si="5"/>
        <v>5.1928872805303747</v>
      </c>
      <c r="Z16" s="373">
        <f t="shared" si="8"/>
        <v>1.1762512944425267</v>
      </c>
      <c r="AA16" s="372">
        <f t="shared" si="9"/>
        <v>11.138776264819814</v>
      </c>
      <c r="AB16" s="374">
        <v>0.2379</v>
      </c>
      <c r="AC16" s="374">
        <v>0.49680000000000002</v>
      </c>
      <c r="AD16" s="359">
        <v>637</v>
      </c>
      <c r="AE16" s="359"/>
    </row>
    <row r="17" spans="1:31">
      <c r="A17">
        <v>4</v>
      </c>
      <c r="B17" s="2" t="s">
        <v>5</v>
      </c>
      <c r="C17" s="152">
        <f t="shared" si="0"/>
        <v>6.5984858539303213</v>
      </c>
      <c r="D17" s="170">
        <f t="shared" si="1"/>
        <v>821.71405950197084</v>
      </c>
      <c r="E17" s="368">
        <f>Drawing!Q41</f>
        <v>0.74909260871383654</v>
      </c>
      <c r="F17" s="32">
        <f t="shared" si="2"/>
        <v>0.65216763462641392</v>
      </c>
      <c r="G17" s="153">
        <f t="shared" si="3"/>
        <v>3.8366284622496316</v>
      </c>
      <c r="H17" s="11">
        <f t="shared" ref="H17:H25" si="10">D17-G17</f>
        <v>817.87743103972116</v>
      </c>
      <c r="I17" s="153">
        <f t="shared" si="4"/>
        <v>0.11649000312621506</v>
      </c>
      <c r="J17" s="153">
        <f t="shared" ref="J17:J25" si="11">I17*C17</f>
        <v>0.76865763775262896</v>
      </c>
      <c r="L17" s="359" t="s">
        <v>5</v>
      </c>
      <c r="M17" s="369">
        <f t="shared" si="6"/>
        <v>0.74909260871383654</v>
      </c>
      <c r="N17" s="359"/>
      <c r="O17" s="359" t="s">
        <v>73</v>
      </c>
      <c r="P17" s="370">
        <v>16.042999999999999</v>
      </c>
      <c r="Q17" s="371">
        <v>-258.7</v>
      </c>
      <c r="R17" s="371">
        <v>5000</v>
      </c>
      <c r="S17" s="371">
        <v>-296.5</v>
      </c>
      <c r="T17" s="371">
        <v>667.8</v>
      </c>
      <c r="U17" s="372">
        <v>-116.68</v>
      </c>
      <c r="V17" s="373">
        <v>0.99809999999999999</v>
      </c>
      <c r="W17" s="373">
        <v>0.3</v>
      </c>
      <c r="X17" s="370">
        <f t="shared" si="7"/>
        <v>2.5010999999999997</v>
      </c>
      <c r="Y17" s="370">
        <f>P17/X17</f>
        <v>6.4143776738235179</v>
      </c>
      <c r="Z17" s="373">
        <f t="shared" si="8"/>
        <v>0.55377977217811525</v>
      </c>
      <c r="AA17" s="372">
        <f t="shared" si="9"/>
        <v>23.659224583930687</v>
      </c>
      <c r="AB17" s="374">
        <v>0.52659999999999996</v>
      </c>
      <c r="AC17" s="374"/>
      <c r="AD17" s="359">
        <v>1009.7</v>
      </c>
      <c r="AE17" s="359">
        <f>9500*2.5</f>
        <v>23750</v>
      </c>
    </row>
    <row r="18" spans="1:31">
      <c r="A18">
        <v>5</v>
      </c>
      <c r="B18" s="2" t="s">
        <v>338</v>
      </c>
      <c r="C18" s="152">
        <f t="shared" si="0"/>
        <v>0.89936951208598037</v>
      </c>
      <c r="D18" s="170">
        <f t="shared" si="1"/>
        <v>113.8078033549712</v>
      </c>
      <c r="E18" s="368">
        <f>Drawing!Q42</f>
        <v>0.10374969652927329</v>
      </c>
      <c r="F18" s="32">
        <f t="shared" si="2"/>
        <v>-1.1569721279096607E-2</v>
      </c>
      <c r="G18" s="153">
        <f t="shared" si="3"/>
        <v>3.7866433781182685</v>
      </c>
      <c r="H18" s="11">
        <f t="shared" si="10"/>
        <v>110.02115997685293</v>
      </c>
      <c r="I18" s="153">
        <f t="shared" si="4"/>
        <v>0.114972326169997</v>
      </c>
      <c r="J18" s="153">
        <f t="shared" si="11"/>
        <v>0.10340260489090039</v>
      </c>
      <c r="L18" s="359" t="s">
        <v>338</v>
      </c>
      <c r="M18" s="369">
        <f t="shared" si="6"/>
        <v>0.10374969652927329</v>
      </c>
      <c r="N18" s="370">
        <f t="shared" ref="N18:N25" si="12">Y18*M18/0.3795</f>
        <v>2.8254511721060815</v>
      </c>
      <c r="O18" s="359" t="s">
        <v>75</v>
      </c>
      <c r="P18" s="370">
        <v>30.7</v>
      </c>
      <c r="Q18" s="371">
        <v>-127.44</v>
      </c>
      <c r="R18" s="371">
        <v>800</v>
      </c>
      <c r="S18" s="371">
        <v>-297.04000000000002</v>
      </c>
      <c r="T18" s="371">
        <v>707.8</v>
      </c>
      <c r="U18" s="372">
        <v>90.1</v>
      </c>
      <c r="V18" s="373">
        <v>0.99609999999999999</v>
      </c>
      <c r="W18" s="373">
        <v>0.35630000000000001</v>
      </c>
      <c r="X18" s="370">
        <f t="shared" si="7"/>
        <v>2.9704731</v>
      </c>
      <c r="Y18" s="370">
        <f t="shared" ref="Y18:Y25" si="13">P18/X18</f>
        <v>10.335054035668595</v>
      </c>
      <c r="Z18" s="373">
        <f t="shared" si="8"/>
        <v>1.0597169485674836</v>
      </c>
      <c r="AA18" s="372">
        <f t="shared" si="9"/>
        <v>12.363678827361564</v>
      </c>
      <c r="AB18" s="374">
        <v>0.40799999999999997</v>
      </c>
      <c r="AC18" s="374">
        <v>0.92559999999999998</v>
      </c>
      <c r="AD18" s="359">
        <v>1768</v>
      </c>
      <c r="AE18" s="359">
        <v>65889</v>
      </c>
    </row>
    <row r="19" spans="1:31">
      <c r="A19">
        <v>6</v>
      </c>
      <c r="B19" s="2" t="s">
        <v>7</v>
      </c>
      <c r="C19" s="152">
        <f t="shared" si="0"/>
        <v>0.21049076552810234</v>
      </c>
      <c r="D19" s="170">
        <f t="shared" si="1"/>
        <v>53.939160759029683</v>
      </c>
      <c r="E19" s="368">
        <f>Drawing!Q43</f>
        <v>4.9172125239411987E-2</v>
      </c>
      <c r="F19" s="32">
        <f t="shared" si="2"/>
        <v>-0.16578060902537914</v>
      </c>
      <c r="G19" s="153">
        <f t="shared" si="3"/>
        <v>6.915723226082628</v>
      </c>
      <c r="H19" s="11">
        <f t="shared" si="10"/>
        <v>47.023437532947057</v>
      </c>
      <c r="I19" s="153">
        <f t="shared" si="4"/>
        <v>0.20997931599402966</v>
      </c>
      <c r="J19" s="153">
        <f t="shared" si="11"/>
        <v>4.4198706968650608E-2</v>
      </c>
      <c r="L19" s="359" t="s">
        <v>7</v>
      </c>
      <c r="M19" s="369">
        <f t="shared" si="6"/>
        <v>4.9172125239411987E-2</v>
      </c>
      <c r="N19" s="370">
        <f t="shared" si="12"/>
        <v>1.3504247701259158</v>
      </c>
      <c r="O19" s="359" t="s">
        <v>77</v>
      </c>
      <c r="P19" s="370">
        <v>44.097000000000001</v>
      </c>
      <c r="Q19" s="371">
        <v>-43.73</v>
      </c>
      <c r="R19" s="371">
        <v>188</v>
      </c>
      <c r="S19" s="371">
        <v>-305.82</v>
      </c>
      <c r="T19" s="371">
        <v>616.29999999999995</v>
      </c>
      <c r="U19" s="372">
        <v>206.1</v>
      </c>
      <c r="V19" s="373">
        <v>0.98080000000000001</v>
      </c>
      <c r="W19" s="373">
        <v>0.50749999999999995</v>
      </c>
      <c r="X19" s="370">
        <f t="shared" si="7"/>
        <v>4.2310274999999997</v>
      </c>
      <c r="Y19" s="370">
        <f t="shared" si="13"/>
        <v>10.422291039233379</v>
      </c>
      <c r="Z19" s="373">
        <f t="shared" si="8"/>
        <v>1.5221608560579911</v>
      </c>
      <c r="AA19" s="372">
        <f t="shared" si="9"/>
        <v>8.6075002834659955</v>
      </c>
      <c r="AB19" s="374">
        <v>0.38869999999999999</v>
      </c>
      <c r="AC19" s="374">
        <v>0.59019999999999995</v>
      </c>
      <c r="AD19" s="359">
        <v>2517</v>
      </c>
      <c r="AE19" s="359">
        <v>90962</v>
      </c>
    </row>
    <row r="20" spans="1:31">
      <c r="A20">
        <v>7</v>
      </c>
      <c r="B20" s="2" t="s">
        <v>8</v>
      </c>
      <c r="C20" s="152">
        <f t="shared" si="0"/>
        <v>7.8238003806365766E-2</v>
      </c>
      <c r="D20" s="170">
        <f t="shared" si="1"/>
        <v>7.095861503733679</v>
      </c>
      <c r="E20" s="368">
        <f>Drawing!Q44</f>
        <v>6.4687434070746837E-3</v>
      </c>
      <c r="F20" s="32">
        <f t="shared" si="2"/>
        <v>-5.630931345600311E-2</v>
      </c>
      <c r="G20" s="153">
        <f t="shared" si="3"/>
        <v>2.0119747277439544</v>
      </c>
      <c r="H20" s="11">
        <f t="shared" si="10"/>
        <v>5.0838867759897246</v>
      </c>
      <c r="I20" s="153">
        <f t="shared" si="4"/>
        <v>6.1088777459397704E-2</v>
      </c>
      <c r="J20" s="153">
        <f t="shared" si="11"/>
        <v>4.7794640033945891E-3</v>
      </c>
      <c r="L20" s="359" t="s">
        <v>8</v>
      </c>
      <c r="M20" s="369">
        <f t="shared" si="6"/>
        <v>6.4687434070746837E-3</v>
      </c>
      <c r="N20" s="370">
        <f t="shared" si="12"/>
        <v>0.21107920122209403</v>
      </c>
      <c r="O20" s="359" t="s">
        <v>79</v>
      </c>
      <c r="P20" s="370">
        <v>58.124000000000002</v>
      </c>
      <c r="Q20" s="371">
        <v>10.74</v>
      </c>
      <c r="R20" s="371">
        <v>72.39</v>
      </c>
      <c r="S20" s="371">
        <v>-255.28</v>
      </c>
      <c r="T20" s="371">
        <v>529.1</v>
      </c>
      <c r="U20" s="372">
        <v>274.95999999999998</v>
      </c>
      <c r="V20" s="373">
        <v>0.96609999999999996</v>
      </c>
      <c r="W20" s="373">
        <v>0.56299999999999994</v>
      </c>
      <c r="X20" s="370">
        <f t="shared" si="7"/>
        <v>4.6937309999999997</v>
      </c>
      <c r="Y20" s="370">
        <f t="shared" si="13"/>
        <v>12.383325759401211</v>
      </c>
      <c r="Z20" s="373">
        <f t="shared" si="8"/>
        <v>2.0063513979979288</v>
      </c>
      <c r="AA20" s="372">
        <f t="shared" si="9"/>
        <v>6.5302618539673807</v>
      </c>
      <c r="AB20" s="374">
        <v>0.38669999999999999</v>
      </c>
      <c r="AC20" s="374">
        <v>0.56599999999999995</v>
      </c>
      <c r="AD20" s="359">
        <v>3252</v>
      </c>
      <c r="AE20" s="359">
        <v>98968</v>
      </c>
    </row>
    <row r="21" spans="1:31">
      <c r="A21">
        <v>8</v>
      </c>
      <c r="B21" s="2" t="s">
        <v>9</v>
      </c>
      <c r="C21" s="152">
        <f t="shared" si="0"/>
        <v>5.5073027000761027E-2</v>
      </c>
      <c r="D21" s="170">
        <f t="shared" si="1"/>
        <v>15.65527806565118</v>
      </c>
      <c r="E21" s="368">
        <f>Drawing!Q45</f>
        <v>1.4271695793360122E-2</v>
      </c>
      <c r="F21" s="32">
        <f t="shared" si="2"/>
        <v>-0.1616587764087051</v>
      </c>
      <c r="G21" s="153">
        <f t="shared" si="3"/>
        <v>5.6345875142095059</v>
      </c>
      <c r="H21" s="11">
        <f t="shared" si="10"/>
        <v>10.020690551441675</v>
      </c>
      <c r="I21" s="153">
        <f t="shared" si="4"/>
        <v>0.1710807089098039</v>
      </c>
      <c r="J21" s="153">
        <f t="shared" si="11"/>
        <v>9.4219325010989671E-3</v>
      </c>
      <c r="L21" s="359" t="s">
        <v>9</v>
      </c>
      <c r="M21" s="369">
        <f t="shared" si="6"/>
        <v>1.4271695793360122E-2</v>
      </c>
      <c r="N21" s="370">
        <f t="shared" si="12"/>
        <v>0.44871811855753502</v>
      </c>
      <c r="O21" s="359" t="s">
        <v>79</v>
      </c>
      <c r="P21" s="370">
        <v>58.124000000000002</v>
      </c>
      <c r="Q21" s="371">
        <v>31.12</v>
      </c>
      <c r="R21" s="371">
        <v>51.54</v>
      </c>
      <c r="S21" s="371">
        <v>-217.05</v>
      </c>
      <c r="T21" s="371">
        <v>550.70000000000005</v>
      </c>
      <c r="U21" s="372">
        <v>305.62</v>
      </c>
      <c r="V21" s="373">
        <v>0.93669999999999998</v>
      </c>
      <c r="W21" s="373">
        <v>0.58430000000000004</v>
      </c>
      <c r="X21" s="370">
        <f t="shared" si="7"/>
        <v>4.8713091000000004</v>
      </c>
      <c r="Y21" s="370">
        <f t="shared" si="13"/>
        <v>11.931905532334213</v>
      </c>
      <c r="Z21" s="373">
        <f t="shared" si="8"/>
        <v>2.0063513979979288</v>
      </c>
      <c r="AA21" s="372">
        <f t="shared" si="9"/>
        <v>6.5302618539673807</v>
      </c>
      <c r="AB21" s="374">
        <v>0.39510000000000001</v>
      </c>
      <c r="AC21" s="374">
        <v>0.56599999999999995</v>
      </c>
      <c r="AD21" s="359">
        <v>3262</v>
      </c>
      <c r="AE21" s="359">
        <v>102918</v>
      </c>
    </row>
    <row r="22" spans="1:31">
      <c r="A22">
        <v>9</v>
      </c>
      <c r="B22" s="2" t="s">
        <v>124</v>
      </c>
      <c r="C22" s="152">
        <f t="shared" si="0"/>
        <v>2.1897458172461838E-2</v>
      </c>
      <c r="D22" s="170">
        <f t="shared" si="1"/>
        <v>3.6183515054087834</v>
      </c>
      <c r="E22" s="368">
        <f>Drawing!Q46</f>
        <v>3.2985688112396258E-3</v>
      </c>
      <c r="F22" s="32">
        <f t="shared" si="2"/>
        <v>-6.2964576281787296E-2</v>
      </c>
      <c r="G22" s="153">
        <f t="shared" si="3"/>
        <v>2.1201812281711341</v>
      </c>
      <c r="H22" s="11">
        <f t="shared" si="10"/>
        <v>1.4981702772376493</v>
      </c>
      <c r="I22" s="153">
        <f t="shared" si="4"/>
        <v>6.4374207804573202E-2</v>
      </c>
      <c r="J22" s="153">
        <f t="shared" si="11"/>
        <v>1.409631522786008E-3</v>
      </c>
      <c r="L22" s="359" t="s">
        <v>124</v>
      </c>
      <c r="M22" s="369">
        <f t="shared" si="6"/>
        <v>3.2985688112396258E-3</v>
      </c>
      <c r="N22" s="370">
        <f t="shared" si="12"/>
        <v>0.12047125286490282</v>
      </c>
      <c r="O22" s="359" t="s">
        <v>82</v>
      </c>
      <c r="P22" s="370">
        <v>72.150999999999996</v>
      </c>
      <c r="Q22" s="371">
        <v>82.11</v>
      </c>
      <c r="R22" s="371">
        <v>20.443999999999999</v>
      </c>
      <c r="S22" s="371">
        <v>-255.82</v>
      </c>
      <c r="T22" s="371">
        <v>490.4</v>
      </c>
      <c r="U22" s="372">
        <v>369.03</v>
      </c>
      <c r="V22" s="373">
        <v>0.94799999999999995</v>
      </c>
      <c r="W22" s="373">
        <v>0.62439999999999996</v>
      </c>
      <c r="X22" s="370">
        <f t="shared" si="7"/>
        <v>5.2056227999999996</v>
      </c>
      <c r="Y22" s="370">
        <f t="shared" si="13"/>
        <v>13.860205161234502</v>
      </c>
      <c r="Z22" s="373">
        <f t="shared" si="8"/>
        <v>2.4905419399378665</v>
      </c>
      <c r="AA22" s="372">
        <f t="shared" si="9"/>
        <v>5.260702415766934</v>
      </c>
      <c r="AB22" s="374">
        <v>0.38290000000000002</v>
      </c>
      <c r="AC22" s="374">
        <v>0.5353</v>
      </c>
      <c r="AD22" s="359">
        <v>4000</v>
      </c>
      <c r="AE22" s="359">
        <v>108722</v>
      </c>
    </row>
    <row r="23" spans="1:31">
      <c r="A23">
        <v>10</v>
      </c>
      <c r="B23" s="2" t="s">
        <v>125</v>
      </c>
      <c r="C23" s="152">
        <f t="shared" si="0"/>
        <v>1.6300954822802836E-2</v>
      </c>
      <c r="D23" s="170">
        <f t="shared" si="1"/>
        <v>3.7808237583827808</v>
      </c>
      <c r="E23" s="368">
        <f>Drawing!Q47</f>
        <v>3.4466820903256267E-3</v>
      </c>
      <c r="F23" s="32">
        <f t="shared" si="2"/>
        <v>-7.4009066287679309E-2</v>
      </c>
      <c r="G23" s="153">
        <f t="shared" si="3"/>
        <v>2.4778999256583107</v>
      </c>
      <c r="H23" s="11">
        <f t="shared" si="10"/>
        <v>1.3029238327244701</v>
      </c>
      <c r="I23" s="153">
        <f t="shared" si="4"/>
        <v>7.5235476389374598E-2</v>
      </c>
      <c r="J23" s="153">
        <f t="shared" si="11"/>
        <v>1.2264101016952447E-3</v>
      </c>
      <c r="L23" s="359" t="s">
        <v>125</v>
      </c>
      <c r="M23" s="369">
        <f t="shared" si="6"/>
        <v>3.4466820903256267E-3</v>
      </c>
      <c r="N23" s="370">
        <f t="shared" si="12"/>
        <v>0.12454428974892585</v>
      </c>
      <c r="O23" s="359" t="s">
        <v>82</v>
      </c>
      <c r="P23" s="370">
        <v>72.150999999999996</v>
      </c>
      <c r="Q23" s="371">
        <v>96.91</v>
      </c>
      <c r="R23" s="371">
        <v>15.574999999999999</v>
      </c>
      <c r="S23" s="371">
        <v>-201.51</v>
      </c>
      <c r="T23" s="371">
        <v>488.6</v>
      </c>
      <c r="U23" s="372">
        <v>385.6</v>
      </c>
      <c r="V23" s="373">
        <v>0.94199999999999995</v>
      </c>
      <c r="W23" s="373">
        <v>0.63109999999999999</v>
      </c>
      <c r="X23" s="370">
        <f t="shared" si="7"/>
        <v>5.2614806999999999</v>
      </c>
      <c r="Y23" s="370">
        <f t="shared" si="13"/>
        <v>13.713059899659044</v>
      </c>
      <c r="Z23" s="373">
        <f t="shared" si="8"/>
        <v>2.4905419399378665</v>
      </c>
      <c r="AA23" s="372">
        <f t="shared" si="9"/>
        <v>5.260702415766934</v>
      </c>
      <c r="AB23" s="374">
        <v>0.39900000000000002</v>
      </c>
      <c r="AC23" s="374">
        <v>0.54800000000000004</v>
      </c>
      <c r="AD23" s="359">
        <v>4008</v>
      </c>
      <c r="AE23" s="359">
        <v>110071</v>
      </c>
    </row>
    <row r="24" spans="1:31">
      <c r="A24">
        <v>11</v>
      </c>
      <c r="B24" s="2" t="s">
        <v>115</v>
      </c>
      <c r="C24" s="152">
        <f t="shared" si="0"/>
        <v>5.3382276152330998E-3</v>
      </c>
      <c r="D24" s="170">
        <f t="shared" si="1"/>
        <v>4.0182423589901122</v>
      </c>
      <c r="E24" s="368">
        <f>Drawing!Q48</f>
        <v>3.6631181082196441E-3</v>
      </c>
      <c r="F24" s="32">
        <f t="shared" si="2"/>
        <v>-0.10357482467736415</v>
      </c>
      <c r="G24" s="153">
        <f t="shared" si="3"/>
        <v>3.4295715442767523</v>
      </c>
      <c r="H24" s="11">
        <f t="shared" si="10"/>
        <v>0.58867081471335991</v>
      </c>
      <c r="I24" s="153">
        <f t="shared" si="4"/>
        <v>0.10413069804526275</v>
      </c>
      <c r="J24" s="153">
        <f t="shared" si="11"/>
        <v>5.5587336789872095E-4</v>
      </c>
      <c r="L24" s="359" t="s">
        <v>115</v>
      </c>
      <c r="M24" s="369">
        <f t="shared" si="6"/>
        <v>3.6631181082196441E-3</v>
      </c>
      <c r="N24" s="370">
        <f t="shared" si="12"/>
        <v>0.15026494315649952</v>
      </c>
      <c r="O24" s="359" t="s">
        <v>85</v>
      </c>
      <c r="P24" s="370">
        <v>86.177999999999997</v>
      </c>
      <c r="Q24" s="371">
        <v>155.72999999999999</v>
      </c>
      <c r="R24" s="371">
        <v>4.96</v>
      </c>
      <c r="S24" s="371">
        <v>-139.58000000000001</v>
      </c>
      <c r="T24" s="371">
        <v>710.4</v>
      </c>
      <c r="U24" s="372">
        <v>453.6</v>
      </c>
      <c r="V24" s="373">
        <v>0.91</v>
      </c>
      <c r="W24" s="373">
        <v>0.66400000000000003</v>
      </c>
      <c r="X24" s="370">
        <f t="shared" si="7"/>
        <v>5.535768</v>
      </c>
      <c r="Y24" s="370">
        <f t="shared" si="13"/>
        <v>15.567487654829465</v>
      </c>
      <c r="Z24" s="373">
        <f t="shared" si="8"/>
        <v>2.9747324818778047</v>
      </c>
      <c r="AA24" s="372">
        <f t="shared" si="9"/>
        <v>4.4044296688249904</v>
      </c>
      <c r="AB24" s="374">
        <v>0.38569999999999999</v>
      </c>
      <c r="AC24" s="374">
        <v>0.53320000000000001</v>
      </c>
      <c r="AD24" s="359">
        <v>4756</v>
      </c>
      <c r="AE24" s="359">
        <v>115055</v>
      </c>
    </row>
    <row r="25" spans="1:31" ht="15.75" thickBot="1">
      <c r="A25">
        <v>12</v>
      </c>
      <c r="B25" s="2" t="s">
        <v>339</v>
      </c>
      <c r="C25" s="152">
        <f t="shared" si="0"/>
        <v>6.6376161280891612E-5</v>
      </c>
      <c r="D25" s="170">
        <f t="shared" si="1"/>
        <v>1.5856850658631287E-2</v>
      </c>
      <c r="E25" s="368">
        <f>Drawing!Q49</f>
        <v>1.4455453802334921E-5</v>
      </c>
      <c r="F25" s="32">
        <f t="shared" si="2"/>
        <v>-4.8078463484972362E-4</v>
      </c>
      <c r="G25" s="153">
        <f t="shared" si="3"/>
        <v>1.5835817751180731E-2</v>
      </c>
      <c r="H25" s="11">
        <f t="shared" si="10"/>
        <v>2.103290745055636E-5</v>
      </c>
      <c r="I25" s="153">
        <f t="shared" si="4"/>
        <v>4.808165496065666E-4</v>
      </c>
      <c r="J25" s="153">
        <f t="shared" si="11"/>
        <v>3.191475684320729E-8</v>
      </c>
      <c r="L25" s="359" t="s">
        <v>339</v>
      </c>
      <c r="M25" s="369">
        <f t="shared" si="6"/>
        <v>1.4455453802334921E-5</v>
      </c>
      <c r="N25" s="370">
        <f t="shared" si="12"/>
        <v>6.8808496595108891E-4</v>
      </c>
      <c r="O25" s="359" t="s">
        <v>741</v>
      </c>
      <c r="P25" s="370">
        <v>100</v>
      </c>
      <c r="Q25" s="371">
        <v>155.72999999999999</v>
      </c>
      <c r="R25" s="371">
        <v>4.96</v>
      </c>
      <c r="S25" s="371">
        <v>-139.58000000000001</v>
      </c>
      <c r="T25" s="371">
        <v>710.4</v>
      </c>
      <c r="U25" s="372">
        <v>453.6</v>
      </c>
      <c r="V25" s="373">
        <v>0.91</v>
      </c>
      <c r="W25" s="373">
        <v>0.66400000000000003</v>
      </c>
      <c r="X25" s="370">
        <f t="shared" si="7"/>
        <v>5.535768</v>
      </c>
      <c r="Y25" s="370">
        <f t="shared" si="13"/>
        <v>18.064340846653977</v>
      </c>
      <c r="Z25" s="373">
        <f t="shared" si="8"/>
        <v>3.4518467380048325</v>
      </c>
      <c r="AA25" s="372">
        <f t="shared" si="9"/>
        <v>3.7956494000000003</v>
      </c>
      <c r="AB25" s="374">
        <v>0.38569999999999999</v>
      </c>
      <c r="AC25" s="374">
        <v>0.53320000000000001</v>
      </c>
      <c r="AD25" s="359">
        <v>4756</v>
      </c>
      <c r="AE25" s="359">
        <v>115055</v>
      </c>
    </row>
    <row r="26" spans="1:31" ht="15.75" thickBot="1">
      <c r="B26" s="189" t="s">
        <v>340</v>
      </c>
      <c r="C26" s="211"/>
      <c r="D26" s="201">
        <f t="shared" ref="D26:J26" si="14">SUM(D14:D25)</f>
        <v>1097.8419776481312</v>
      </c>
      <c r="E26" s="231">
        <f>SUM(E14:E25)</f>
        <v>1.0008168918156664</v>
      </c>
      <c r="F26" s="211">
        <f t="shared" si="14"/>
        <v>4.3257350392843688E-2</v>
      </c>
      <c r="G26" s="190">
        <f t="shared" si="14"/>
        <v>31.58021258173688</v>
      </c>
      <c r="H26" s="202">
        <f t="shared" si="14"/>
        <v>1066.2617650663942</v>
      </c>
      <c r="I26" s="190">
        <f t="shared" si="14"/>
        <v>0.95885726193460752</v>
      </c>
      <c r="J26" s="191">
        <f t="shared" si="14"/>
        <v>1.0021146123274516</v>
      </c>
      <c r="L26" s="359" t="s">
        <v>132</v>
      </c>
      <c r="M26" s="374">
        <f>SUM(M14:M25)</f>
        <v>1.0008168918156664</v>
      </c>
      <c r="N26" s="370">
        <f>SUM(N18:N25)</f>
        <v>5.2316418327479042</v>
      </c>
      <c r="O26" s="359"/>
      <c r="P26" s="370">
        <f t="shared" ref="P26:W26" si="15">P14*$M14+P15*$M15+P16*$M16+P17*$M17+P18*$M18+P19*$M19+P20*$M20+P21*$M21+P22*$M22+P23*$M23+P24*$M24+P25*$M25</f>
        <v>22.165189249132656</v>
      </c>
      <c r="Q26" s="371">
        <f t="shared" si="15"/>
        <v>-217.12294573694118</v>
      </c>
      <c r="R26" s="371">
        <f t="shared" si="15"/>
        <v>3839.0507420396652</v>
      </c>
      <c r="S26" s="371">
        <f t="shared" si="15"/>
        <v>-282.79817972722878</v>
      </c>
      <c r="T26" s="371">
        <f t="shared" si="15"/>
        <v>686.68071283381175</v>
      </c>
      <c r="U26" s="372">
        <f t="shared" si="15"/>
        <v>-55.472528591489095</v>
      </c>
      <c r="V26" s="373">
        <f t="shared" si="15"/>
        <v>0.99590231498485604</v>
      </c>
      <c r="W26" s="374">
        <f t="shared" si="15"/>
        <v>0.36050956526481193</v>
      </c>
      <c r="X26" s="370">
        <f t="shared" si="7"/>
        <v>3.0055682456127371</v>
      </c>
      <c r="Y26" s="374">
        <f>Y14*$M14+Y15*$M15+Y16*$M16+Y17*$M17+Y18*$M18+Y19*$M19+Y20*$M20+Y21*$M21+Y22*$M22+Y23*$M23+Y24*$M24+Y25*$M25</f>
        <v>7.1994072747844085</v>
      </c>
      <c r="Z26" s="373">
        <f t="shared" si="8"/>
        <v>0.76510836206878341</v>
      </c>
      <c r="AA26" s="372">
        <f>AA14*$M14+AA15*$M15+AA16*$M16+AA17*$M17+AA18*$M18+AA19*$M19+AA20*$M20+AA21*$M21+AA22*$M22+AA23*$M23+AA24*$M24+AA25*$M25</f>
        <v>20.258533795323448</v>
      </c>
      <c r="AB26" s="374">
        <f>AB14*$M14+AB15*$M15+AB16*$M16+AB17*$M17+AB18*$M18+AB19*$M19+AB20*$M20+AB21*$M21+AB22*$M22+AB23*$M23+AB24*$M24+AB25*$M25</f>
        <v>0.48216552365156562</v>
      </c>
      <c r="AC26" s="374">
        <f>AC14*$M14+AC15*$M15+AC16*$M16+AC17*$M17+AC18*$M18+AC19*$M19+AC20*$M20+AC21*$M21+AC22*$M22+AC23*$M23+AC24*$M24+AC25*$M25</f>
        <v>0.14240708107226174</v>
      </c>
      <c r="AD26" s="371">
        <f>AD14*$M14+AD15*$M15+AD16*$M16+AD17*$M17+AD18*$M18+AD19*$M19+AD20*$M20+AD21*$M21+AD22*$M22+AD23*$M23+AD24*$M24+AD25*$M25</f>
        <v>1175.6448893427553</v>
      </c>
      <c r="AE26" s="371">
        <f>AE14*$M14+AE15*$M15+AE16*$M16+AE17*$M17+AE18*$M18+AE19*$M19+AE20*$M20+AE21*$M21+AE22*$M22+AE23*$M23+AE24*$M24+AE25*$M25</f>
        <v>32369.851021608971</v>
      </c>
    </row>
    <row r="27" spans="1:31">
      <c r="B27" s="23"/>
      <c r="D27" s="170"/>
      <c r="E27" s="230"/>
      <c r="G27" s="153"/>
      <c r="H27" s="11"/>
      <c r="I27" s="153"/>
      <c r="J27" s="153"/>
      <c r="L27" s="2"/>
      <c r="M27" s="375"/>
      <c r="N27" s="376"/>
      <c r="O27" s="32"/>
      <c r="P27" s="11"/>
      <c r="Q27" s="11"/>
      <c r="R27" s="11"/>
      <c r="S27" s="11"/>
      <c r="T27" s="11"/>
      <c r="U27" s="11"/>
      <c r="V27" s="16"/>
      <c r="W27" s="11"/>
      <c r="X27" s="11"/>
      <c r="Y27" s="11"/>
      <c r="Z27" s="104"/>
      <c r="AA27" s="16"/>
      <c r="AB27" s="11"/>
      <c r="AC27" s="11"/>
      <c r="AD27" s="59"/>
      <c r="AE27" s="59"/>
    </row>
    <row r="28" spans="1:31" ht="15.75">
      <c r="B28" s="377" t="s">
        <v>742</v>
      </c>
    </row>
    <row r="29" spans="1:31" ht="15" customHeight="1">
      <c r="L29" s="2"/>
      <c r="M29" s="2"/>
      <c r="N29" s="11"/>
      <c r="O29" s="2"/>
      <c r="P29" s="11"/>
      <c r="Q29" s="11"/>
      <c r="R29" s="11"/>
      <c r="S29" s="11"/>
      <c r="T29" s="11"/>
      <c r="U29" s="11"/>
      <c r="V29" s="11"/>
      <c r="W29" s="11"/>
      <c r="X29" s="11"/>
      <c r="Y29" s="11"/>
      <c r="Z29" s="11"/>
      <c r="AA29" s="16" t="s">
        <v>743</v>
      </c>
      <c r="AB29" s="11"/>
      <c r="AC29" s="11"/>
      <c r="AD29" s="11"/>
      <c r="AE29" s="11"/>
    </row>
    <row r="30" spans="1:31">
      <c r="K30" s="32"/>
      <c r="L30" s="32"/>
      <c r="M30" s="32"/>
      <c r="N30" s="2"/>
      <c r="O30" s="2"/>
      <c r="P30" s="2"/>
      <c r="Q30" s="2"/>
      <c r="R30" s="2"/>
      <c r="S30" s="2"/>
      <c r="T30" s="2"/>
      <c r="U30" s="2"/>
      <c r="V30" s="2"/>
      <c r="W30" s="2"/>
      <c r="X30" s="2"/>
      <c r="Y30" s="11"/>
      <c r="Z30" s="16"/>
      <c r="AA30" s="16"/>
      <c r="AB30" s="2"/>
      <c r="AC30" s="2"/>
      <c r="AD30" s="2"/>
      <c r="AE30" s="2"/>
    </row>
    <row r="31" spans="1:31">
      <c r="B31" s="217" t="s">
        <v>341</v>
      </c>
    </row>
    <row r="34" spans="1:15" s="32" customFormat="1" ht="16.5">
      <c r="A34" s="192"/>
      <c r="B34"/>
      <c r="D34" s="193" t="s">
        <v>342</v>
      </c>
      <c r="K34"/>
      <c r="L34"/>
      <c r="M34"/>
      <c r="N34"/>
      <c r="O34"/>
    </row>
    <row r="35" spans="1:15" s="32" customFormat="1">
      <c r="A35" s="192"/>
      <c r="B35"/>
      <c r="D35" s="194" t="s">
        <v>343</v>
      </c>
      <c r="K35"/>
      <c r="L35"/>
      <c r="M35"/>
      <c r="N35"/>
      <c r="O35"/>
    </row>
    <row r="37" spans="1:15" s="32" customFormat="1">
      <c r="A37"/>
      <c r="B37"/>
      <c r="D37" s="147" t="s">
        <v>344</v>
      </c>
      <c r="F37" s="32" t="s">
        <v>345</v>
      </c>
      <c r="K37"/>
      <c r="L37"/>
      <c r="M37"/>
      <c r="N37"/>
      <c r="O37"/>
    </row>
    <row r="38" spans="1:15" s="32" customFormat="1">
      <c r="A38"/>
      <c r="B38"/>
      <c r="D38" s="147" t="s">
        <v>346</v>
      </c>
      <c r="K38"/>
      <c r="L38"/>
      <c r="M38"/>
      <c r="N38"/>
      <c r="O38"/>
    </row>
    <row r="41" spans="1:15" ht="21">
      <c r="D41" s="101" t="s">
        <v>412</v>
      </c>
      <c r="E41"/>
      <c r="F41"/>
      <c r="G41"/>
      <c r="H41"/>
      <c r="I41"/>
      <c r="J41"/>
    </row>
    <row r="42" spans="1:15">
      <c r="D42"/>
      <c r="E42" t="s">
        <v>347</v>
      </c>
      <c r="F42"/>
      <c r="G42"/>
      <c r="H42"/>
      <c r="I42"/>
      <c r="J42"/>
    </row>
    <row r="43" spans="1:15">
      <c r="D43"/>
      <c r="E43"/>
      <c r="F43"/>
      <c r="G43"/>
      <c r="H43"/>
      <c r="I43"/>
      <c r="J43"/>
    </row>
    <row r="44" spans="1:15">
      <c r="C44" s="378"/>
      <c r="D44" s="379" t="s">
        <v>348</v>
      </c>
      <c r="E44" s="380"/>
      <c r="F44" s="380"/>
      <c r="G44" s="380"/>
      <c r="H44" s="380"/>
      <c r="I44" s="380"/>
      <c r="J44"/>
      <c r="K44" s="379" t="s">
        <v>349</v>
      </c>
      <c r="L44" s="380"/>
      <c r="M44" s="380"/>
      <c r="N44" s="380"/>
      <c r="O44" s="380"/>
    </row>
    <row r="45" spans="1:15">
      <c r="C45" s="378"/>
      <c r="D45" s="380"/>
      <c r="E45" s="380"/>
      <c r="F45" s="380"/>
      <c r="G45" s="380"/>
      <c r="H45" s="380"/>
      <c r="I45" s="380"/>
      <c r="J45"/>
      <c r="K45" s="380"/>
      <c r="L45" s="380"/>
      <c r="M45" s="380"/>
      <c r="N45" s="380"/>
      <c r="O45" s="380"/>
    </row>
    <row r="46" spans="1:15" ht="18">
      <c r="C46" s="378"/>
      <c r="D46" s="381" t="s">
        <v>350</v>
      </c>
      <c r="E46" s="380"/>
      <c r="F46" s="380"/>
      <c r="G46" s="380"/>
      <c r="H46" s="380"/>
      <c r="I46" s="380"/>
      <c r="J46"/>
      <c r="K46" s="381" t="s">
        <v>351</v>
      </c>
      <c r="L46" s="380"/>
      <c r="M46" s="380"/>
      <c r="N46" s="380"/>
      <c r="O46" s="380"/>
    </row>
    <row r="47" spans="1:15">
      <c r="C47" s="378"/>
      <c r="D47" s="381"/>
      <c r="E47" s="380"/>
      <c r="F47" s="380"/>
      <c r="G47" s="380"/>
      <c r="H47" s="380"/>
      <c r="I47" s="380"/>
      <c r="J47"/>
      <c r="K47" s="381"/>
      <c r="L47" s="380"/>
      <c r="M47" s="380"/>
      <c r="N47" s="380"/>
      <c r="O47" s="380"/>
    </row>
    <row r="48" spans="1:15" ht="18">
      <c r="C48" s="378"/>
      <c r="D48" s="381" t="s">
        <v>352</v>
      </c>
      <c r="E48" s="380"/>
      <c r="F48" s="380"/>
      <c r="G48" s="380"/>
      <c r="H48" s="380"/>
      <c r="I48" s="380"/>
      <c r="J48"/>
      <c r="K48" s="381" t="s">
        <v>353</v>
      </c>
      <c r="L48" s="380"/>
      <c r="M48" s="380"/>
      <c r="N48" s="380"/>
      <c r="O48" s="380"/>
    </row>
    <row r="49" spans="3:15">
      <c r="C49" s="382">
        <f>B6+460</f>
        <v>547.45833333333337</v>
      </c>
      <c r="D49" s="381" t="s">
        <v>354</v>
      </c>
      <c r="E49" s="380"/>
      <c r="F49" s="380"/>
      <c r="G49" s="380"/>
      <c r="H49" s="380"/>
      <c r="I49" s="380"/>
      <c r="J49"/>
      <c r="K49" s="381" t="s">
        <v>354</v>
      </c>
      <c r="L49" s="380"/>
      <c r="M49" s="380"/>
      <c r="N49" s="380"/>
      <c r="O49" s="380"/>
    </row>
    <row r="50" spans="3:15" ht="18">
      <c r="C50" s="378"/>
      <c r="D50" s="381" t="s">
        <v>355</v>
      </c>
      <c r="E50" s="380"/>
      <c r="F50" s="380"/>
      <c r="G50" s="380"/>
      <c r="H50" s="380"/>
      <c r="I50" s="380"/>
      <c r="J50"/>
      <c r="K50" s="381" t="s">
        <v>355</v>
      </c>
      <c r="L50" s="380"/>
      <c r="M50" s="380"/>
      <c r="N50" s="380"/>
      <c r="O50" s="380"/>
    </row>
    <row r="51" spans="3:15">
      <c r="C51" s="382">
        <f>B7</f>
        <v>764.99070994396732</v>
      </c>
      <c r="D51" s="381" t="s">
        <v>356</v>
      </c>
      <c r="E51" s="380"/>
      <c r="F51" s="380"/>
      <c r="G51" s="380"/>
      <c r="H51" s="380"/>
      <c r="I51" s="380"/>
      <c r="J51"/>
      <c r="K51" s="381" t="s">
        <v>357</v>
      </c>
      <c r="L51" s="380"/>
      <c r="M51" s="380"/>
      <c r="N51" s="380"/>
      <c r="O51" s="380"/>
    </row>
    <row r="52" spans="3:15" ht="18">
      <c r="C52" s="378"/>
      <c r="D52" s="381" t="s">
        <v>358</v>
      </c>
      <c r="E52" s="380"/>
      <c r="F52" s="380"/>
      <c r="G52" s="380"/>
      <c r="H52" s="380"/>
      <c r="I52" s="380"/>
      <c r="J52"/>
      <c r="K52" s="381" t="s">
        <v>358</v>
      </c>
      <c r="L52" s="380"/>
      <c r="M52" s="380"/>
      <c r="N52" s="380"/>
      <c r="O52" s="380"/>
    </row>
    <row r="53" spans="3:15" ht="18">
      <c r="C53" s="378"/>
      <c r="D53" s="381" t="s">
        <v>359</v>
      </c>
      <c r="E53" s="380"/>
      <c r="F53" s="380"/>
      <c r="G53" s="380"/>
      <c r="H53" s="380"/>
      <c r="I53" s="380"/>
      <c r="J53"/>
    </row>
    <row r="54" spans="3:15">
      <c r="C54" s="378"/>
      <c r="D54" s="381" t="s">
        <v>360</v>
      </c>
      <c r="E54" s="380"/>
      <c r="F54" s="380"/>
      <c r="G54" s="380"/>
      <c r="H54" s="380"/>
      <c r="I54" s="380"/>
      <c r="J54"/>
    </row>
    <row r="55" spans="3:15">
      <c r="C55" s="378"/>
      <c r="D55" s="381"/>
      <c r="E55" s="380"/>
      <c r="F55" s="380"/>
      <c r="G55" s="380"/>
      <c r="H55" s="380"/>
      <c r="I55" s="380"/>
      <c r="J55"/>
    </row>
    <row r="56" spans="3:15">
      <c r="C56" s="378">
        <f>1.2+0.00045*C51+(15*(10^-8))*C51^2</f>
        <v>1.6320274374198716</v>
      </c>
      <c r="D56" s="381" t="s">
        <v>405</v>
      </c>
      <c r="E56" s="380"/>
      <c r="F56" s="380"/>
      <c r="G56" s="380"/>
      <c r="H56" s="380"/>
      <c r="I56" s="380"/>
      <c r="J56"/>
    </row>
    <row r="57" spans="3:15">
      <c r="C57" s="378">
        <f>0.89-0.00017*C51-3.5*(10^-8)*C51^2</f>
        <v>0.73946920178900533</v>
      </c>
      <c r="D57" s="381" t="s">
        <v>406</v>
      </c>
      <c r="E57" s="380"/>
      <c r="F57" s="380"/>
      <c r="G57" s="380"/>
      <c r="H57" s="380"/>
      <c r="I57" s="380"/>
      <c r="J57"/>
    </row>
    <row r="58" spans="3:15">
      <c r="C58" s="378">
        <f>7.3+0.0075*(C49-460)+0.0016*C51</f>
        <v>9.1799226359103479</v>
      </c>
      <c r="D58" s="381" t="s">
        <v>597</v>
      </c>
      <c r="E58" s="380"/>
      <c r="F58" s="380"/>
      <c r="G58" s="380"/>
      <c r="H58" s="380"/>
      <c r="I58" s="380"/>
      <c r="J58"/>
    </row>
    <row r="59" spans="3:15">
      <c r="C59" s="378">
        <f>1013+324*C58-4.256*C58^2</f>
        <v>3628.6376448518236</v>
      </c>
      <c r="D59" s="381" t="s">
        <v>598</v>
      </c>
      <c r="E59" s="380"/>
      <c r="F59" s="380"/>
      <c r="G59" s="380"/>
      <c r="H59" s="380"/>
      <c r="I59" s="380"/>
      <c r="J59"/>
    </row>
    <row r="60" spans="3:15" ht="18">
      <c r="C60" s="378">
        <f>301+59.85*C58-0.971*C58^2</f>
        <v>768.59124856637277</v>
      </c>
      <c r="D60" s="381" t="s">
        <v>599</v>
      </c>
      <c r="E60" s="380"/>
      <c r="F60" s="380"/>
      <c r="G60" s="380"/>
      <c r="H60" s="380"/>
      <c r="I60" s="380"/>
      <c r="J60"/>
    </row>
    <row r="61" spans="3:15">
      <c r="D61"/>
      <c r="E61"/>
      <c r="F61"/>
      <c r="G61"/>
      <c r="H61"/>
      <c r="I61"/>
      <c r="J61"/>
    </row>
    <row r="62" spans="3:15">
      <c r="D62"/>
      <c r="E62" t="s">
        <v>361</v>
      </c>
      <c r="F62"/>
      <c r="G62"/>
      <c r="H62"/>
      <c r="I62"/>
      <c r="J62"/>
    </row>
    <row r="63" spans="3:15">
      <c r="D63"/>
      <c r="E63"/>
      <c r="F63"/>
      <c r="G63"/>
      <c r="H63"/>
      <c r="I63"/>
      <c r="J63"/>
    </row>
    <row r="64" spans="3:15">
      <c r="D64" s="383"/>
      <c r="E64" s="383"/>
      <c r="F64" s="383"/>
      <c r="G64" s="383"/>
      <c r="H64" s="383"/>
      <c r="I64" s="383"/>
      <c r="J64" s="383"/>
      <c r="K64" s="364" t="s">
        <v>362</v>
      </c>
      <c r="L64" s="364" t="s">
        <v>363</v>
      </c>
    </row>
    <row r="65" spans="4:12" ht="18">
      <c r="D65" s="384" t="s">
        <v>241</v>
      </c>
      <c r="E65" s="384" t="s">
        <v>408</v>
      </c>
      <c r="F65" s="384" t="s">
        <v>409</v>
      </c>
      <c r="G65" s="384" t="s">
        <v>364</v>
      </c>
      <c r="H65" s="384" t="s">
        <v>365</v>
      </c>
      <c r="I65" s="384" t="s">
        <v>366</v>
      </c>
      <c r="J65" s="384" t="s">
        <v>367</v>
      </c>
      <c r="K65" s="384" t="s">
        <v>368</v>
      </c>
      <c r="L65" s="384" t="s">
        <v>368</v>
      </c>
    </row>
    <row r="66" spans="4:12">
      <c r="D66" s="359" t="s">
        <v>4</v>
      </c>
      <c r="E66" s="372">
        <f>C184</f>
        <v>493</v>
      </c>
      <c r="F66" s="372">
        <f>D184</f>
        <v>227.6</v>
      </c>
      <c r="G66" s="374">
        <f>E184</f>
        <v>0.04</v>
      </c>
      <c r="H66" s="359">
        <f t="shared" ref="H66:I76" si="16">C121</f>
        <v>470</v>
      </c>
      <c r="I66" s="370">
        <f t="shared" si="16"/>
        <v>109</v>
      </c>
      <c r="J66" s="374">
        <f>H66*(1/I66-1/($C$49))</f>
        <v>3.4534137810887264</v>
      </c>
      <c r="K66" s="374">
        <f>(1/C51)*10^(C56+C57*J66)</f>
        <v>20.047693245593877</v>
      </c>
      <c r="L66" s="374">
        <f>E66/$C$51*EXP(5.37*(1+G66)*(1-F66/$C$49))</f>
        <v>16.837761511156856</v>
      </c>
    </row>
    <row r="67" spans="4:12">
      <c r="D67" s="359" t="s">
        <v>70</v>
      </c>
      <c r="E67" s="372">
        <f>C183</f>
        <v>1071</v>
      </c>
      <c r="F67" s="372">
        <f>D183</f>
        <v>547.9</v>
      </c>
      <c r="G67" s="374">
        <f>E183</f>
        <v>0.22500000000000001</v>
      </c>
      <c r="H67" s="359">
        <f t="shared" si="16"/>
        <v>652</v>
      </c>
      <c r="I67" s="370">
        <f t="shared" si="16"/>
        <v>194</v>
      </c>
      <c r="J67" s="374">
        <f t="shared" ref="J67:J77" si="17">H67*(1/I67-1/($C$49))</f>
        <v>2.169866526269868</v>
      </c>
      <c r="K67" s="374">
        <f t="shared" ref="K67:K77" si="18">1/$C$51*10^($C$56+$C$57*J67)</f>
        <v>2.2538278677646546</v>
      </c>
      <c r="L67" s="374">
        <f t="shared" ref="L67:L77" si="19">E67/$C$51*EXP(5.37*(1+G67)*(1-F67/$C$49))</f>
        <v>1.392606709417876</v>
      </c>
    </row>
    <row r="68" spans="4:12">
      <c r="D68" s="359" t="s">
        <v>2</v>
      </c>
      <c r="E68" s="372">
        <v>1036</v>
      </c>
      <c r="F68" s="372">
        <v>672.6</v>
      </c>
      <c r="G68" s="374">
        <v>0.1105</v>
      </c>
      <c r="H68" s="359">
        <f t="shared" si="16"/>
        <v>1136</v>
      </c>
      <c r="I68" s="370">
        <f t="shared" si="16"/>
        <v>331</v>
      </c>
      <c r="J68" s="374">
        <f t="shared" si="17"/>
        <v>1.356980406340847</v>
      </c>
      <c r="K68" s="374">
        <f t="shared" si="18"/>
        <v>0.56469831809668991</v>
      </c>
      <c r="L68" s="374">
        <f t="shared" si="19"/>
        <v>0.34649341341232687</v>
      </c>
    </row>
    <row r="69" spans="4:12">
      <c r="D69" s="359" t="s">
        <v>5</v>
      </c>
      <c r="E69" s="372">
        <f t="shared" ref="E69:G77" si="20">C185</f>
        <v>667.8</v>
      </c>
      <c r="F69" s="372">
        <f t="shared" si="20"/>
        <v>343.37</v>
      </c>
      <c r="G69" s="374">
        <f t="shared" si="20"/>
        <v>1.04E-2</v>
      </c>
      <c r="H69" s="359">
        <f t="shared" si="16"/>
        <v>300</v>
      </c>
      <c r="I69" s="370">
        <f t="shared" si="16"/>
        <v>94</v>
      </c>
      <c r="J69" s="374">
        <f t="shared" si="17"/>
        <v>2.6435024525005142</v>
      </c>
      <c r="K69" s="374">
        <f t="shared" si="18"/>
        <v>5.04847168480162</v>
      </c>
      <c r="L69" s="374">
        <f t="shared" si="19"/>
        <v>6.5984858539303213</v>
      </c>
    </row>
    <row r="70" spans="4:12">
      <c r="D70" s="359" t="s">
        <v>6</v>
      </c>
      <c r="E70" s="372">
        <f t="shared" si="20"/>
        <v>707.8</v>
      </c>
      <c r="F70" s="372">
        <f t="shared" si="20"/>
        <v>550.09</v>
      </c>
      <c r="G70" s="374">
        <f t="shared" si="20"/>
        <v>9.8599999999999993E-2</v>
      </c>
      <c r="H70" s="359">
        <f t="shared" si="16"/>
        <v>1145</v>
      </c>
      <c r="I70" s="370">
        <f t="shared" si="16"/>
        <v>303</v>
      </c>
      <c r="J70" s="374">
        <f t="shared" si="17"/>
        <v>1.6873945176692875</v>
      </c>
      <c r="K70" s="374">
        <f t="shared" si="18"/>
        <v>0.99116864144978345</v>
      </c>
      <c r="L70" s="374">
        <f t="shared" si="19"/>
        <v>0.89936951208598037</v>
      </c>
    </row>
    <row r="71" spans="4:12">
      <c r="D71" s="359" t="s">
        <v>7</v>
      </c>
      <c r="E71" s="372">
        <f t="shared" si="20"/>
        <v>616.29999999999995</v>
      </c>
      <c r="F71" s="372">
        <f t="shared" si="20"/>
        <v>666.01</v>
      </c>
      <c r="G71" s="374">
        <f t="shared" si="20"/>
        <v>0.1542</v>
      </c>
      <c r="H71" s="359">
        <f t="shared" si="16"/>
        <v>1799</v>
      </c>
      <c r="I71" s="370">
        <f t="shared" si="16"/>
        <v>416</v>
      </c>
      <c r="J71" s="374">
        <f t="shared" si="17"/>
        <v>1.0384243985902224</v>
      </c>
      <c r="K71" s="374">
        <f t="shared" si="18"/>
        <v>0.32828734184349118</v>
      </c>
      <c r="L71" s="374">
        <f t="shared" si="19"/>
        <v>0.21049076552810234</v>
      </c>
    </row>
    <row r="72" spans="4:12">
      <c r="D72" s="359" t="s">
        <v>8</v>
      </c>
      <c r="E72" s="372">
        <f t="shared" si="20"/>
        <v>529.1</v>
      </c>
      <c r="F72" s="372">
        <f t="shared" si="20"/>
        <v>734.98</v>
      </c>
      <c r="G72" s="374">
        <f t="shared" si="20"/>
        <v>0.18479999999999999</v>
      </c>
      <c r="H72" s="359">
        <f t="shared" si="16"/>
        <v>2037</v>
      </c>
      <c r="I72" s="370">
        <f t="shared" si="16"/>
        <v>471</v>
      </c>
      <c r="J72" s="374">
        <f t="shared" si="17"/>
        <v>0.60400965085225478</v>
      </c>
      <c r="K72" s="374">
        <f t="shared" si="18"/>
        <v>0.1566815324909164</v>
      </c>
      <c r="L72" s="374">
        <f t="shared" si="19"/>
        <v>7.8238003806365766E-2</v>
      </c>
    </row>
    <row r="73" spans="4:12">
      <c r="D73" s="359" t="s">
        <v>9</v>
      </c>
      <c r="E73" s="372">
        <f t="shared" si="20"/>
        <v>550.70000000000005</v>
      </c>
      <c r="F73" s="372">
        <f t="shared" si="20"/>
        <v>765.65</v>
      </c>
      <c r="G73" s="374">
        <f t="shared" si="20"/>
        <v>0.20100000000000001</v>
      </c>
      <c r="H73" s="359">
        <f t="shared" si="16"/>
        <v>2153</v>
      </c>
      <c r="I73" s="370">
        <f t="shared" si="16"/>
        <v>491</v>
      </c>
      <c r="J73" s="374">
        <f t="shared" si="17"/>
        <v>0.45220933186736401</v>
      </c>
      <c r="K73" s="374">
        <f t="shared" si="18"/>
        <v>0.12099464508930376</v>
      </c>
      <c r="L73" s="374">
        <f t="shared" si="19"/>
        <v>5.5073027000761027E-2</v>
      </c>
    </row>
    <row r="74" spans="4:12">
      <c r="D74" s="359" t="s">
        <v>124</v>
      </c>
      <c r="E74" s="372">
        <f t="shared" si="20"/>
        <v>490.4</v>
      </c>
      <c r="F74" s="372">
        <f t="shared" si="20"/>
        <v>829.1</v>
      </c>
      <c r="G74" s="374">
        <f t="shared" si="20"/>
        <v>0.2223</v>
      </c>
      <c r="H74" s="359">
        <f t="shared" si="16"/>
        <v>2368</v>
      </c>
      <c r="I74" s="370">
        <f t="shared" si="16"/>
        <v>542</v>
      </c>
      <c r="J74" s="374">
        <f t="shared" si="17"/>
        <v>4.356035340549802E-2</v>
      </c>
      <c r="K74" s="374">
        <f t="shared" si="18"/>
        <v>6.0336875398266487E-2</v>
      </c>
      <c r="L74" s="374">
        <f t="shared" si="19"/>
        <v>2.1897458172461838E-2</v>
      </c>
    </row>
    <row r="75" spans="4:12">
      <c r="D75" s="359" t="s">
        <v>125</v>
      </c>
      <c r="E75" s="372">
        <f t="shared" si="20"/>
        <v>488.6</v>
      </c>
      <c r="F75" s="372">
        <f t="shared" si="20"/>
        <v>845.7</v>
      </c>
      <c r="G75" s="374">
        <f t="shared" si="20"/>
        <v>0.25390000000000001</v>
      </c>
      <c r="H75" s="359">
        <f t="shared" si="16"/>
        <v>2480</v>
      </c>
      <c r="I75" s="370">
        <f t="shared" si="16"/>
        <v>557</v>
      </c>
      <c r="J75" s="374">
        <f t="shared" si="17"/>
        <v>-7.7601417682470003E-2</v>
      </c>
      <c r="K75" s="374">
        <f t="shared" si="18"/>
        <v>4.9089365411453742E-2</v>
      </c>
      <c r="L75" s="374">
        <f t="shared" si="19"/>
        <v>1.6300954822802836E-2</v>
      </c>
    </row>
    <row r="76" spans="4:12">
      <c r="D76" s="359" t="s">
        <v>115</v>
      </c>
      <c r="E76" s="372">
        <f t="shared" si="20"/>
        <v>436.9</v>
      </c>
      <c r="F76" s="372">
        <f t="shared" si="20"/>
        <v>913.7</v>
      </c>
      <c r="G76" s="374">
        <f t="shared" si="20"/>
        <v>0.30070000000000002</v>
      </c>
      <c r="H76" s="359">
        <f t="shared" si="16"/>
        <v>2738</v>
      </c>
      <c r="I76" s="370">
        <f t="shared" si="16"/>
        <v>610</v>
      </c>
      <c r="J76" s="374">
        <f t="shared" si="17"/>
        <v>-0.51276926781612442</v>
      </c>
      <c r="K76" s="374">
        <f t="shared" si="18"/>
        <v>2.3398832855219518E-2</v>
      </c>
      <c r="L76" s="374">
        <f t="shared" si="19"/>
        <v>5.3382276152330998E-3</v>
      </c>
    </row>
    <row r="77" spans="4:12">
      <c r="D77" s="359" t="s">
        <v>339</v>
      </c>
      <c r="E77" s="372">
        <f t="shared" si="20"/>
        <v>320.3</v>
      </c>
      <c r="F77" s="372">
        <f t="shared" si="20"/>
        <v>1139.4000000000001</v>
      </c>
      <c r="G77" s="374">
        <f t="shared" si="20"/>
        <v>0.50690000000000002</v>
      </c>
      <c r="H77" s="385">
        <f>C59</f>
        <v>3628.6376448518236</v>
      </c>
      <c r="I77" s="370">
        <f>C60</f>
        <v>768.59124856637277</v>
      </c>
      <c r="J77" s="374">
        <f t="shared" si="17"/>
        <v>-1.9069990955398024</v>
      </c>
      <c r="K77" s="374">
        <f t="shared" si="18"/>
        <v>2.178733832065796E-3</v>
      </c>
      <c r="L77" s="374">
        <f t="shared" si="19"/>
        <v>6.6376161280891612E-5</v>
      </c>
    </row>
    <row r="78" spans="4:12">
      <c r="D78"/>
      <c r="E78"/>
      <c r="F78"/>
      <c r="G78"/>
      <c r="H78"/>
      <c r="I78"/>
      <c r="J78"/>
    </row>
    <row r="79" spans="4:12">
      <c r="D79" s="147" t="s">
        <v>369</v>
      </c>
      <c r="E79"/>
      <c r="F79"/>
      <c r="G79"/>
      <c r="H79"/>
      <c r="I79"/>
      <c r="J79"/>
    </row>
    <row r="80" spans="4:12">
      <c r="D80"/>
      <c r="E80" t="s">
        <v>407</v>
      </c>
      <c r="F80"/>
      <c r="G80"/>
      <c r="H80"/>
      <c r="I80"/>
      <c r="J80"/>
    </row>
    <row r="81" spans="2:68">
      <c r="D81"/>
      <c r="E81"/>
      <c r="F81"/>
      <c r="G81"/>
      <c r="H81"/>
      <c r="I81"/>
      <c r="J81"/>
    </row>
    <row r="82" spans="2:68">
      <c r="B82" s="386"/>
      <c r="C82" s="360" t="s">
        <v>744</v>
      </c>
      <c r="D82" s="386"/>
      <c r="E82" s="359"/>
      <c r="F82" s="359"/>
      <c r="G82" s="359"/>
      <c r="H82" s="359"/>
      <c r="I82" s="359"/>
      <c r="J82" s="359"/>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c r="AS82" s="386"/>
      <c r="AT82" s="386"/>
      <c r="AU82" s="386"/>
      <c r="AV82" s="386"/>
      <c r="AW82" s="386"/>
      <c r="AX82" s="386"/>
      <c r="AY82" s="386"/>
      <c r="AZ82" s="386"/>
      <c r="BA82" s="386"/>
      <c r="BB82" s="386"/>
      <c r="BC82" s="386"/>
      <c r="BD82" s="386"/>
      <c r="BE82" s="386"/>
      <c r="BF82" s="386"/>
      <c r="BG82" s="386"/>
      <c r="BH82" s="386"/>
      <c r="BI82" s="386"/>
      <c r="BJ82" s="386"/>
      <c r="BK82" s="386"/>
      <c r="BL82" s="386"/>
      <c r="BM82" s="386"/>
      <c r="BN82" s="386"/>
      <c r="BO82" s="386"/>
      <c r="BP82" s="386"/>
    </row>
    <row r="83" spans="2:68">
      <c r="B83" s="386" t="s">
        <v>113</v>
      </c>
      <c r="C83" s="387">
        <v>1E-3</v>
      </c>
      <c r="D83" s="387">
        <v>0.02</v>
      </c>
      <c r="E83" s="359">
        <v>0.04</v>
      </c>
      <c r="F83" s="359">
        <v>0.06</v>
      </c>
      <c r="G83" s="359">
        <v>0.08</v>
      </c>
      <c r="H83" s="359">
        <v>0.1</v>
      </c>
      <c r="I83" s="359">
        <v>0.12</v>
      </c>
      <c r="J83" s="359">
        <v>0.14000000000000001</v>
      </c>
      <c r="K83" s="359">
        <v>0.16</v>
      </c>
      <c r="L83" s="359">
        <v>0.18</v>
      </c>
      <c r="M83" s="359">
        <v>0.2</v>
      </c>
      <c r="N83" s="359">
        <v>0.22</v>
      </c>
      <c r="O83" s="359">
        <v>0.24</v>
      </c>
      <c r="P83" s="359">
        <v>0.26</v>
      </c>
      <c r="Q83" s="359">
        <v>0.28000000000000003</v>
      </c>
      <c r="R83" s="359">
        <v>0.3</v>
      </c>
      <c r="S83" s="359">
        <v>0.32</v>
      </c>
      <c r="T83" s="359">
        <v>0.34</v>
      </c>
      <c r="U83" s="359">
        <v>0.36</v>
      </c>
      <c r="V83" s="359">
        <v>0.38</v>
      </c>
      <c r="W83" s="359">
        <v>0.4</v>
      </c>
      <c r="X83" s="359">
        <v>0.42</v>
      </c>
      <c r="Y83" s="359">
        <v>0.44</v>
      </c>
      <c r="Z83" s="359">
        <v>0.46</v>
      </c>
      <c r="AA83" s="359">
        <v>0.48</v>
      </c>
      <c r="AB83" s="359">
        <v>0.5</v>
      </c>
      <c r="AC83" s="359">
        <v>0.52</v>
      </c>
      <c r="AD83" s="359">
        <v>0.54</v>
      </c>
      <c r="AE83" s="359">
        <v>0.56000000000000005</v>
      </c>
      <c r="AF83" s="359">
        <v>0.57999999999999996</v>
      </c>
      <c r="AG83" s="359">
        <v>0.6</v>
      </c>
      <c r="AH83" s="359">
        <v>0.62</v>
      </c>
      <c r="AI83" s="359">
        <v>0.64</v>
      </c>
      <c r="AJ83" s="359">
        <v>0.66</v>
      </c>
      <c r="AK83" s="359">
        <v>0.68</v>
      </c>
      <c r="AL83" s="359">
        <v>0.7</v>
      </c>
      <c r="AM83" s="359">
        <v>0.72</v>
      </c>
      <c r="AN83" s="359">
        <v>0.74</v>
      </c>
      <c r="AO83" s="359">
        <v>0.76</v>
      </c>
      <c r="AP83" s="359">
        <v>0.78</v>
      </c>
      <c r="AQ83" s="359">
        <v>0.8</v>
      </c>
      <c r="AR83" s="359">
        <v>0.82</v>
      </c>
      <c r="AS83" s="359">
        <v>0.84</v>
      </c>
      <c r="AT83" s="359">
        <v>0.86</v>
      </c>
      <c r="AU83" s="359">
        <v>0.88</v>
      </c>
      <c r="AV83" s="359">
        <v>0.9</v>
      </c>
      <c r="AW83" s="359">
        <v>0.91</v>
      </c>
      <c r="AX83" s="359">
        <v>0.92</v>
      </c>
      <c r="AY83" s="359">
        <v>0.93</v>
      </c>
      <c r="AZ83" s="359">
        <v>0.94</v>
      </c>
      <c r="BA83" s="359">
        <v>0.95</v>
      </c>
      <c r="BB83" s="387">
        <v>0.96</v>
      </c>
      <c r="BC83" s="387">
        <v>0.97</v>
      </c>
      <c r="BD83" s="387">
        <v>0.98</v>
      </c>
      <c r="BE83" s="387">
        <v>0.98499999999999999</v>
      </c>
      <c r="BF83" s="387">
        <v>0.99</v>
      </c>
      <c r="BG83" s="387">
        <v>0.99099999999999999</v>
      </c>
      <c r="BH83" s="387">
        <v>0.99199999999999999</v>
      </c>
      <c r="BI83" s="387">
        <v>0.99299999999999999</v>
      </c>
      <c r="BJ83" s="387">
        <v>0.99399999999999999</v>
      </c>
      <c r="BK83" s="387">
        <v>0.995</v>
      </c>
      <c r="BL83" s="387">
        <v>0.996</v>
      </c>
      <c r="BM83" s="387">
        <v>0.997</v>
      </c>
      <c r="BN83" s="387">
        <v>0.998</v>
      </c>
      <c r="BO83" s="387">
        <v>0.999</v>
      </c>
      <c r="BP83" s="387"/>
    </row>
    <row r="84" spans="2:68">
      <c r="B84" s="386" t="s">
        <v>745</v>
      </c>
      <c r="C84" s="388">
        <f>IF((C99-$BP99)=0,C83,1)</f>
        <v>1</v>
      </c>
      <c r="D84" s="388">
        <f>IF((D99-$BP99)=0,D83,1)</f>
        <v>1</v>
      </c>
      <c r="E84" s="388">
        <f t="shared" ref="E84:BO84" si="21">IF((E99-$BP99)=0,E83,1)</f>
        <v>1</v>
      </c>
      <c r="F84" s="388">
        <f t="shared" si="21"/>
        <v>1</v>
      </c>
      <c r="G84" s="388">
        <f t="shared" si="21"/>
        <v>1</v>
      </c>
      <c r="H84" s="388">
        <f t="shared" si="21"/>
        <v>1</v>
      </c>
      <c r="I84" s="388">
        <f t="shared" si="21"/>
        <v>1</v>
      </c>
      <c r="J84" s="388">
        <f t="shared" si="21"/>
        <v>1</v>
      </c>
      <c r="K84" s="388">
        <f t="shared" si="21"/>
        <v>1</v>
      </c>
      <c r="L84" s="388">
        <f t="shared" si="21"/>
        <v>1</v>
      </c>
      <c r="M84" s="388">
        <f t="shared" si="21"/>
        <v>1</v>
      </c>
      <c r="N84" s="388">
        <f t="shared" si="21"/>
        <v>1</v>
      </c>
      <c r="O84" s="388">
        <f t="shared" si="21"/>
        <v>1</v>
      </c>
      <c r="P84" s="388">
        <f t="shared" si="21"/>
        <v>1</v>
      </c>
      <c r="Q84" s="388">
        <f t="shared" si="21"/>
        <v>1</v>
      </c>
      <c r="R84" s="388">
        <f t="shared" si="21"/>
        <v>1</v>
      </c>
      <c r="S84" s="388">
        <f t="shared" si="21"/>
        <v>1</v>
      </c>
      <c r="T84" s="388">
        <f t="shared" si="21"/>
        <v>1</v>
      </c>
      <c r="U84" s="388">
        <f t="shared" si="21"/>
        <v>1</v>
      </c>
      <c r="V84" s="388">
        <f t="shared" si="21"/>
        <v>1</v>
      </c>
      <c r="W84" s="388">
        <f t="shared" si="21"/>
        <v>1</v>
      </c>
      <c r="X84" s="388">
        <f t="shared" si="21"/>
        <v>1</v>
      </c>
      <c r="Y84" s="388">
        <f t="shared" si="21"/>
        <v>1</v>
      </c>
      <c r="Z84" s="388">
        <f t="shared" si="21"/>
        <v>1</v>
      </c>
      <c r="AA84" s="388">
        <f t="shared" si="21"/>
        <v>1</v>
      </c>
      <c r="AB84" s="388">
        <f t="shared" si="21"/>
        <v>1</v>
      </c>
      <c r="AC84" s="388">
        <f t="shared" si="21"/>
        <v>1</v>
      </c>
      <c r="AD84" s="388">
        <f t="shared" si="21"/>
        <v>1</v>
      </c>
      <c r="AE84" s="388">
        <f t="shared" si="21"/>
        <v>1</v>
      </c>
      <c r="AF84" s="388">
        <f t="shared" si="21"/>
        <v>1</v>
      </c>
      <c r="AG84" s="388">
        <f t="shared" si="21"/>
        <v>1</v>
      </c>
      <c r="AH84" s="388">
        <f t="shared" si="21"/>
        <v>1</v>
      </c>
      <c r="AI84" s="388">
        <f t="shared" si="21"/>
        <v>1</v>
      </c>
      <c r="AJ84" s="388">
        <f t="shared" si="21"/>
        <v>1</v>
      </c>
      <c r="AK84" s="388">
        <f t="shared" si="21"/>
        <v>1</v>
      </c>
      <c r="AL84" s="388">
        <f t="shared" si="21"/>
        <v>1</v>
      </c>
      <c r="AM84" s="388">
        <f t="shared" si="21"/>
        <v>1</v>
      </c>
      <c r="AN84" s="388">
        <f t="shared" si="21"/>
        <v>1</v>
      </c>
      <c r="AO84" s="388">
        <f t="shared" si="21"/>
        <v>1</v>
      </c>
      <c r="AP84" s="388">
        <f t="shared" si="21"/>
        <v>1</v>
      </c>
      <c r="AQ84" s="388">
        <f t="shared" si="21"/>
        <v>1</v>
      </c>
      <c r="AR84" s="388">
        <f t="shared" si="21"/>
        <v>1</v>
      </c>
      <c r="AS84" s="388">
        <f t="shared" si="21"/>
        <v>1</v>
      </c>
      <c r="AT84" s="388">
        <f t="shared" si="21"/>
        <v>1</v>
      </c>
      <c r="AU84" s="388">
        <f t="shared" si="21"/>
        <v>1</v>
      </c>
      <c r="AV84" s="388">
        <f t="shared" si="21"/>
        <v>1</v>
      </c>
      <c r="AW84" s="388">
        <f t="shared" si="21"/>
        <v>1</v>
      </c>
      <c r="AX84" s="388">
        <f t="shared" si="21"/>
        <v>1</v>
      </c>
      <c r="AY84" s="388">
        <f t="shared" si="21"/>
        <v>1</v>
      </c>
      <c r="AZ84" s="388">
        <f t="shared" si="21"/>
        <v>1</v>
      </c>
      <c r="BA84" s="388">
        <f t="shared" si="21"/>
        <v>1</v>
      </c>
      <c r="BB84" s="388">
        <f t="shared" si="21"/>
        <v>1</v>
      </c>
      <c r="BC84" s="388">
        <f t="shared" si="21"/>
        <v>0.97</v>
      </c>
      <c r="BD84" s="388">
        <f t="shared" si="21"/>
        <v>1</v>
      </c>
      <c r="BE84" s="388">
        <f t="shared" si="21"/>
        <v>1</v>
      </c>
      <c r="BF84" s="388">
        <f t="shared" si="21"/>
        <v>1</v>
      </c>
      <c r="BG84" s="388">
        <f t="shared" si="21"/>
        <v>1</v>
      </c>
      <c r="BH84" s="388">
        <f t="shared" si="21"/>
        <v>1</v>
      </c>
      <c r="BI84" s="388">
        <f t="shared" si="21"/>
        <v>1</v>
      </c>
      <c r="BJ84" s="388">
        <f t="shared" si="21"/>
        <v>1</v>
      </c>
      <c r="BK84" s="388">
        <f t="shared" si="21"/>
        <v>1</v>
      </c>
      <c r="BL84" s="388">
        <f t="shared" si="21"/>
        <v>1</v>
      </c>
      <c r="BM84" s="388">
        <f t="shared" si="21"/>
        <v>1</v>
      </c>
      <c r="BN84" s="388">
        <f t="shared" si="21"/>
        <v>1</v>
      </c>
      <c r="BO84" s="388">
        <f t="shared" si="21"/>
        <v>1</v>
      </c>
      <c r="BP84" s="386"/>
    </row>
    <row r="85" spans="2:68" ht="60">
      <c r="B85" s="386"/>
      <c r="C85" s="389" t="s">
        <v>333</v>
      </c>
      <c r="D85" s="389" t="s">
        <v>333</v>
      </c>
      <c r="E85" s="389" t="s">
        <v>333</v>
      </c>
      <c r="F85" s="389" t="s">
        <v>333</v>
      </c>
      <c r="G85" s="389" t="s">
        <v>333</v>
      </c>
      <c r="H85" s="389" t="s">
        <v>333</v>
      </c>
      <c r="I85" s="389" t="s">
        <v>333</v>
      </c>
      <c r="J85" s="389" t="s">
        <v>333</v>
      </c>
      <c r="K85" s="389" t="s">
        <v>333</v>
      </c>
      <c r="L85" s="389" t="s">
        <v>333</v>
      </c>
      <c r="M85" s="389" t="s">
        <v>333</v>
      </c>
      <c r="N85" s="389" t="s">
        <v>333</v>
      </c>
      <c r="O85" s="389" t="s">
        <v>333</v>
      </c>
      <c r="P85" s="389" t="s">
        <v>333</v>
      </c>
      <c r="Q85" s="389" t="s">
        <v>333</v>
      </c>
      <c r="R85" s="389" t="s">
        <v>333</v>
      </c>
      <c r="S85" s="389" t="s">
        <v>333</v>
      </c>
      <c r="T85" s="389" t="s">
        <v>333</v>
      </c>
      <c r="U85" s="389" t="s">
        <v>333</v>
      </c>
      <c r="V85" s="389" t="s">
        <v>333</v>
      </c>
      <c r="W85" s="389" t="s">
        <v>333</v>
      </c>
      <c r="X85" s="389" t="s">
        <v>333</v>
      </c>
      <c r="Y85" s="389" t="s">
        <v>333</v>
      </c>
      <c r="Z85" s="389" t="s">
        <v>333</v>
      </c>
      <c r="AA85" s="389" t="s">
        <v>333</v>
      </c>
      <c r="AB85" s="389" t="s">
        <v>333</v>
      </c>
      <c r="AC85" s="389" t="s">
        <v>333</v>
      </c>
      <c r="AD85" s="389" t="s">
        <v>333</v>
      </c>
      <c r="AE85" s="389" t="s">
        <v>333</v>
      </c>
      <c r="AF85" s="389" t="s">
        <v>333</v>
      </c>
      <c r="AG85" s="389" t="s">
        <v>333</v>
      </c>
      <c r="AH85" s="389" t="s">
        <v>333</v>
      </c>
      <c r="AI85" s="389" t="s">
        <v>333</v>
      </c>
      <c r="AJ85" s="389" t="s">
        <v>333</v>
      </c>
      <c r="AK85" s="389" t="s">
        <v>333</v>
      </c>
      <c r="AL85" s="389" t="s">
        <v>333</v>
      </c>
      <c r="AM85" s="389" t="s">
        <v>333</v>
      </c>
      <c r="AN85" s="389" t="s">
        <v>333</v>
      </c>
      <c r="AO85" s="389" t="s">
        <v>333</v>
      </c>
      <c r="AP85" s="389" t="s">
        <v>333</v>
      </c>
      <c r="AQ85" s="389" t="s">
        <v>333</v>
      </c>
      <c r="AR85" s="389" t="s">
        <v>333</v>
      </c>
      <c r="AS85" s="389" t="s">
        <v>333</v>
      </c>
      <c r="AT85" s="389" t="s">
        <v>333</v>
      </c>
      <c r="AU85" s="389" t="s">
        <v>333</v>
      </c>
      <c r="AV85" s="389" t="s">
        <v>333</v>
      </c>
      <c r="AW85" s="389" t="s">
        <v>333</v>
      </c>
      <c r="AX85" s="389" t="s">
        <v>333</v>
      </c>
      <c r="AY85" s="389" t="s">
        <v>333</v>
      </c>
      <c r="AZ85" s="389" t="s">
        <v>333</v>
      </c>
      <c r="BA85" s="389" t="s">
        <v>333</v>
      </c>
      <c r="BB85" s="389" t="s">
        <v>333</v>
      </c>
      <c r="BC85" s="389" t="s">
        <v>333</v>
      </c>
      <c r="BD85" s="389" t="s">
        <v>333</v>
      </c>
      <c r="BE85" s="389" t="s">
        <v>333</v>
      </c>
      <c r="BF85" s="389" t="s">
        <v>333</v>
      </c>
      <c r="BG85" s="389" t="s">
        <v>333</v>
      </c>
      <c r="BH85" s="389" t="s">
        <v>333</v>
      </c>
      <c r="BI85" s="389" t="s">
        <v>333</v>
      </c>
      <c r="BJ85" s="389" t="s">
        <v>333</v>
      </c>
      <c r="BK85" s="389" t="s">
        <v>333</v>
      </c>
      <c r="BL85" s="389" t="s">
        <v>333</v>
      </c>
      <c r="BM85" s="389" t="s">
        <v>333</v>
      </c>
      <c r="BN85" s="389" t="s">
        <v>333</v>
      </c>
      <c r="BO85" s="389" t="s">
        <v>333</v>
      </c>
      <c r="BP85" s="386"/>
    </row>
    <row r="86" spans="2:68">
      <c r="B86" s="359" t="s">
        <v>4</v>
      </c>
      <c r="C86" s="386">
        <f t="shared" ref="C86:BN89" si="22">$E14*($C14-1)/(1+C$83*($C14-1))</f>
        <v>0.18719641388045291</v>
      </c>
      <c r="D86" s="386">
        <f t="shared" si="22"/>
        <v>0.14441650329120825</v>
      </c>
      <c r="E86" s="386">
        <f t="shared" si="22"/>
        <v>0.11641259155896889</v>
      </c>
      <c r="F86" s="386">
        <f t="shared" si="22"/>
        <v>9.7505271691450512E-2</v>
      </c>
      <c r="G86" s="386">
        <f t="shared" si="22"/>
        <v>8.3881531170152152E-2</v>
      </c>
      <c r="H86" s="386">
        <f t="shared" si="22"/>
        <v>7.3598165985518105E-2</v>
      </c>
      <c r="I86" s="386">
        <f t="shared" si="22"/>
        <v>6.5560809740821027E-2</v>
      </c>
      <c r="J86" s="386">
        <f t="shared" si="22"/>
        <v>5.9106075708596578E-2</v>
      </c>
      <c r="K86" s="386">
        <f t="shared" si="22"/>
        <v>5.3808413865066781E-2</v>
      </c>
      <c r="L86" s="386">
        <f t="shared" si="22"/>
        <v>4.9382292154923693E-2</v>
      </c>
      <c r="M86" s="386">
        <f t="shared" si="22"/>
        <v>4.5628986092728856E-2</v>
      </c>
      <c r="N86" s="386">
        <f t="shared" si="22"/>
        <v>4.2405919902453626E-2</v>
      </c>
      <c r="O86" s="386">
        <f t="shared" si="22"/>
        <v>3.9608144162893377E-2</v>
      </c>
      <c r="P86" s="386">
        <f t="shared" si="22"/>
        <v>3.7156691836837258E-2</v>
      </c>
      <c r="Q86" s="386">
        <f t="shared" si="22"/>
        <v>3.4991006327802547E-2</v>
      </c>
      <c r="R86" s="386">
        <f t="shared" si="22"/>
        <v>3.3063871691864283E-2</v>
      </c>
      <c r="S86" s="386">
        <f t="shared" si="22"/>
        <v>3.1337930713465849E-2</v>
      </c>
      <c r="T86" s="386">
        <f t="shared" si="22"/>
        <v>2.9783239421816151E-2</v>
      </c>
      <c r="U86" s="386">
        <f t="shared" si="22"/>
        <v>2.8375515131578231E-2</v>
      </c>
      <c r="V86" s="386">
        <f t="shared" si="22"/>
        <v>2.7094858904746121E-2</v>
      </c>
      <c r="W86" s="386">
        <f t="shared" si="22"/>
        <v>2.5924809023655859E-2</v>
      </c>
      <c r="X86" s="386">
        <f t="shared" si="22"/>
        <v>2.4851629557723302E-2</v>
      </c>
      <c r="Y86" s="386">
        <f t="shared" si="22"/>
        <v>2.3863768608504941E-2</v>
      </c>
      <c r="Z86" s="386">
        <f t="shared" si="22"/>
        <v>2.2951440824673753E-2</v>
      </c>
      <c r="AA86" s="386">
        <f t="shared" si="22"/>
        <v>2.2106302155057333E-2</v>
      </c>
      <c r="AB86" s="386">
        <f t="shared" si="22"/>
        <v>2.1321193908809308E-2</v>
      </c>
      <c r="AC86" s="386">
        <f t="shared" si="22"/>
        <v>2.058993948349418E-2</v>
      </c>
      <c r="AD86" s="386">
        <f t="shared" si="22"/>
        <v>1.9907181535889013E-2</v>
      </c>
      <c r="AE86" s="386">
        <f t="shared" si="22"/>
        <v>1.9268250509296366E-2</v>
      </c>
      <c r="AF86" s="386">
        <f t="shared" si="22"/>
        <v>1.8669057691622928E-2</v>
      </c>
      <c r="AG86" s="386">
        <f t="shared" si="22"/>
        <v>1.8106007625368747E-2</v>
      </c>
      <c r="AH86" s="386">
        <f t="shared" si="22"/>
        <v>1.7575925903624699E-2</v>
      </c>
      <c r="AI86" s="386">
        <f t="shared" si="22"/>
        <v>1.7075999288619356E-2</v>
      </c>
      <c r="AJ86" s="386">
        <f t="shared" si="22"/>
        <v>1.6603725767168866E-2</v>
      </c>
      <c r="AK86" s="386">
        <f t="shared" si="22"/>
        <v>1.615687267101918E-2</v>
      </c>
      <c r="AL86" s="386">
        <f t="shared" si="22"/>
        <v>1.5733441382555818E-2</v>
      </c>
      <c r="AM86" s="386">
        <f t="shared" si="22"/>
        <v>1.5331637448631658E-2</v>
      </c>
      <c r="AN86" s="386">
        <f t="shared" si="22"/>
        <v>1.4949845159792563E-2</v>
      </c>
      <c r="AO86" s="386">
        <f t="shared" si="22"/>
        <v>1.4586605835424286E-2</v>
      </c>
      <c r="AP86" s="386">
        <f t="shared" si="22"/>
        <v>1.4240599199467545E-2</v>
      </c>
      <c r="AQ86" s="386">
        <f t="shared" si="22"/>
        <v>1.3910627345415918E-2</v>
      </c>
      <c r="AR86" s="386">
        <f t="shared" si="22"/>
        <v>1.3595600880129953E-2</v>
      </c>
      <c r="AS86" s="386">
        <f t="shared" si="22"/>
        <v>1.3294526908718948E-2</v>
      </c>
      <c r="AT86" s="386">
        <f t="shared" si="22"/>
        <v>1.300649858128099E-2</v>
      </c>
      <c r="AU86" s="386">
        <f t="shared" si="22"/>
        <v>1.2730685969658546E-2</v>
      </c>
      <c r="AV86" s="386">
        <f t="shared" si="22"/>
        <v>1.2466328080881422E-2</v>
      </c>
      <c r="AW86" s="386">
        <f t="shared" si="22"/>
        <v>1.2338223953446102E-2</v>
      </c>
      <c r="AX86" s="386">
        <f t="shared" si="22"/>
        <v>1.2212725845431828E-2</v>
      </c>
      <c r="AY86" s="386">
        <f t="shared" si="22"/>
        <v>1.2089755036251322E-2</v>
      </c>
      <c r="AZ86" s="386">
        <f t="shared" si="22"/>
        <v>1.1969235944283698E-2</v>
      </c>
      <c r="BA86" s="386">
        <f t="shared" si="22"/>
        <v>1.1851095971961739E-2</v>
      </c>
      <c r="BB86" s="386">
        <f t="shared" si="22"/>
        <v>1.173526535994371E-2</v>
      </c>
      <c r="BC86" s="386">
        <f t="shared" si="22"/>
        <v>1.1621677049754192E-2</v>
      </c>
      <c r="BD86" s="386">
        <f t="shared" si="22"/>
        <v>1.1510266554325648E-2</v>
      </c>
      <c r="BE86" s="386">
        <f t="shared" si="22"/>
        <v>1.1455358507870321E-2</v>
      </c>
      <c r="BF86" s="386">
        <f t="shared" si="22"/>
        <v>1.1400971835915529E-2</v>
      </c>
      <c r="BG86" s="386">
        <f t="shared" si="22"/>
        <v>1.1390156413596716E-2</v>
      </c>
      <c r="BH86" s="386">
        <f t="shared" si="22"/>
        <v>1.1379361491723153E-2</v>
      </c>
      <c r="BI86" s="386">
        <f t="shared" si="22"/>
        <v>1.1368587012062668E-2</v>
      </c>
      <c r="BJ86" s="386">
        <f t="shared" si="22"/>
        <v>1.1357832916603436E-2</v>
      </c>
      <c r="BK86" s="386">
        <f t="shared" si="22"/>
        <v>1.1347099147552919E-2</v>
      </c>
      <c r="BL86" s="386">
        <f t="shared" si="22"/>
        <v>1.1336385647336852E-2</v>
      </c>
      <c r="BM86" s="386">
        <f t="shared" si="22"/>
        <v>1.1325692358598195E-2</v>
      </c>
      <c r="BN86" s="386">
        <f t="shared" si="22"/>
        <v>1.1315019224196119E-2</v>
      </c>
      <c r="BO86" s="386">
        <f t="shared" ref="BO86:CU88" si="23">$E14*($C14-1)/(1+BO$83*($C14-1))</f>
        <v>1.1304366187204986E-2</v>
      </c>
      <c r="BP86" s="386"/>
    </row>
    <row r="87" spans="2:68">
      <c r="B87" s="359" t="s">
        <v>70</v>
      </c>
      <c r="C87" s="386">
        <f t="shared" si="22"/>
        <v>2.1832679328116091E-2</v>
      </c>
      <c r="D87" s="386">
        <f t="shared" si="22"/>
        <v>2.16710867036999E-2</v>
      </c>
      <c r="E87" s="386">
        <f t="shared" si="22"/>
        <v>2.1503553410690372E-2</v>
      </c>
      <c r="F87" s="386">
        <f t="shared" si="22"/>
        <v>2.1338590555214983E-2</v>
      </c>
      <c r="G87" s="386">
        <f t="shared" si="22"/>
        <v>2.117613943089389E-2</v>
      </c>
      <c r="H87" s="386">
        <f t="shared" si="22"/>
        <v>2.1016143105571521E-2</v>
      </c>
      <c r="I87" s="386">
        <f t="shared" si="22"/>
        <v>2.0858546354793402E-2</v>
      </c>
      <c r="J87" s="386">
        <f t="shared" si="22"/>
        <v>2.0703295598253835E-2</v>
      </c>
      <c r="K87" s="386">
        <f t="shared" si="22"/>
        <v>2.0550338839060722E-2</v>
      </c>
      <c r="L87" s="386">
        <f t="shared" si="22"/>
        <v>2.0399625605672902E-2</v>
      </c>
      <c r="M87" s="386">
        <f t="shared" si="22"/>
        <v>2.0251106896373876E-2</v>
      </c>
      <c r="N87" s="386">
        <f t="shared" si="22"/>
        <v>2.0104735126153513E-2</v>
      </c>
      <c r="O87" s="386">
        <f t="shared" si="22"/>
        <v>1.9960464075876788E-2</v>
      </c>
      <c r="P87" s="386">
        <f t="shared" si="22"/>
        <v>1.9818248843625558E-2</v>
      </c>
      <c r="Q87" s="386">
        <f t="shared" si="22"/>
        <v>1.9678045798105691E-2</v>
      </c>
      <c r="R87" s="386">
        <f t="shared" si="22"/>
        <v>1.953981253401799E-2</v>
      </c>
      <c r="S87" s="386">
        <f t="shared" si="22"/>
        <v>1.9403507829297097E-2</v>
      </c>
      <c r="T87" s="386">
        <f t="shared" si="22"/>
        <v>1.9269091604127694E-2</v>
      </c>
      <c r="U87" s="386">
        <f t="shared" si="22"/>
        <v>1.9136524881652479E-2</v>
      </c>
      <c r="V87" s="386">
        <f t="shared" si="22"/>
        <v>1.9005769750290974E-2</v>
      </c>
      <c r="W87" s="386">
        <f t="shared" si="22"/>
        <v>1.8876789327592632E-2</v>
      </c>
      <c r="X87" s="386">
        <f t="shared" si="22"/>
        <v>1.8749547725551895E-2</v>
      </c>
      <c r="Y87" s="386">
        <f t="shared" si="22"/>
        <v>1.8624010017316617E-2</v>
      </c>
      <c r="Z87" s="386">
        <f t="shared" si="22"/>
        <v>1.8500142205225042E-2</v>
      </c>
      <c r="AA87" s="386">
        <f t="shared" si="22"/>
        <v>1.8377911190109848E-2</v>
      </c>
      <c r="AB87" s="386">
        <f t="shared" si="22"/>
        <v>1.8257284741811059E-2</v>
      </c>
      <c r="AC87" s="386">
        <f t="shared" si="22"/>
        <v>1.8138231470842679E-2</v>
      </c>
      <c r="AD87" s="386">
        <f t="shared" si="22"/>
        <v>1.8020720801160628E-2</v>
      </c>
      <c r="AE87" s="386">
        <f t="shared" si="22"/>
        <v>1.7904722943982484E-2</v>
      </c>
      <c r="AF87" s="386">
        <f t="shared" si="22"/>
        <v>1.7790208872611835E-2</v>
      </c>
      <c r="AG87" s="386">
        <f t="shared" si="22"/>
        <v>1.767715029822263E-2</v>
      </c>
      <c r="AH87" s="386">
        <f t="shared" si="22"/>
        <v>1.7565519646561025E-2</v>
      </c>
      <c r="AI87" s="386">
        <f t="shared" si="22"/>
        <v>1.7455290035524464E-2</v>
      </c>
      <c r="AJ87" s="386">
        <f t="shared" si="22"/>
        <v>1.7346435253579692E-2</v>
      </c>
      <c r="AK87" s="386">
        <f t="shared" si="22"/>
        <v>1.7238929738983305E-2</v>
      </c>
      <c r="AL87" s="386">
        <f t="shared" si="22"/>
        <v>1.7132748559770213E-2</v>
      </c>
      <c r="AM87" s="386">
        <f t="shared" si="22"/>
        <v>1.7027867394477154E-2</v>
      </c>
      <c r="AN87" s="386">
        <f t="shared" si="22"/>
        <v>1.6924262513569908E-2</v>
      </c>
      <c r="AO87" s="386">
        <f t="shared" si="22"/>
        <v>1.6821910761544434E-2</v>
      </c>
      <c r="AP87" s="386">
        <f t="shared" si="22"/>
        <v>1.6720789539673608E-2</v>
      </c>
      <c r="AQ87" s="386">
        <f t="shared" si="22"/>
        <v>1.6620876789372494E-2</v>
      </c>
      <c r="AR87" s="386">
        <f t="shared" si="22"/>
        <v>1.6522150976156481E-2</v>
      </c>
      <c r="AS87" s="386">
        <f t="shared" si="22"/>
        <v>1.6424591074167771E-2</v>
      </c>
      <c r="AT87" s="386">
        <f t="shared" si="22"/>
        <v>1.6328176551246822E-2</v>
      </c>
      <c r="AU87" s="386">
        <f t="shared" si="22"/>
        <v>1.6232887354526562E-2</v>
      </c>
      <c r="AV87" s="386">
        <f t="shared" si="22"/>
        <v>1.6138703896528071E-2</v>
      </c>
      <c r="AW87" s="386">
        <f t="shared" si="22"/>
        <v>1.6092020822404015E-2</v>
      </c>
      <c r="AX87" s="386">
        <f t="shared" si="22"/>
        <v>1.604560704173752E-2</v>
      </c>
      <c r="AY87" s="386">
        <f t="shared" si="22"/>
        <v>1.5999460231082525E-2</v>
      </c>
      <c r="AZ87" s="386">
        <f t="shared" si="22"/>
        <v>1.5953578093645022E-2</v>
      </c>
      <c r="BA87" s="386">
        <f t="shared" si="22"/>
        <v>1.5907958358902019E-2</v>
      </c>
      <c r="BB87" s="386">
        <f t="shared" si="22"/>
        <v>1.5862598782226983E-2</v>
      </c>
      <c r="BC87" s="386">
        <f t="shared" si="22"/>
        <v>1.581749714452169E-2</v>
      </c>
      <c r="BD87" s="386">
        <f t="shared" si="22"/>
        <v>1.5772651251854331E-2</v>
      </c>
      <c r="BE87" s="386">
        <f t="shared" si="22"/>
        <v>1.5750323531099966E-2</v>
      </c>
      <c r="BF87" s="386">
        <f t="shared" si="22"/>
        <v>1.5728058935103779E-2</v>
      </c>
      <c r="BG87" s="386">
        <f t="shared" si="22"/>
        <v>1.5723613567324692E-2</v>
      </c>
      <c r="BH87" s="386">
        <f t="shared" si="22"/>
        <v>1.5719170711706965E-2</v>
      </c>
      <c r="BI87" s="386">
        <f t="shared" si="22"/>
        <v>1.5714730366121695E-2</v>
      </c>
      <c r="BJ87" s="386">
        <f t="shared" si="22"/>
        <v>1.5710292528442377E-2</v>
      </c>
      <c r="BK87" s="386">
        <f t="shared" si="22"/>
        <v>1.5705857196544923E-2</v>
      </c>
      <c r="BL87" s="386">
        <f t="shared" si="22"/>
        <v>1.5701424368307629E-2</v>
      </c>
      <c r="BM87" s="386">
        <f t="shared" si="22"/>
        <v>1.5696994041611192E-2</v>
      </c>
      <c r="BN87" s="386">
        <f t="shared" si="22"/>
        <v>1.5692566214338698E-2</v>
      </c>
      <c r="BO87" s="386">
        <f t="shared" si="23"/>
        <v>1.5688140884375618E-2</v>
      </c>
      <c r="BP87" s="386"/>
    </row>
    <row r="88" spans="2:68">
      <c r="B88" s="359" t="s">
        <v>2</v>
      </c>
      <c r="C88" s="386">
        <f t="shared" si="22"/>
        <v>-6.5441779805934346E-7</v>
      </c>
      <c r="D88" s="386">
        <f t="shared" si="22"/>
        <v>-6.6265106847508805E-7</v>
      </c>
      <c r="E88" s="386">
        <f t="shared" si="22"/>
        <v>-6.7154448138890146E-7</v>
      </c>
      <c r="F88" s="386">
        <f t="shared" si="22"/>
        <v>-6.8067985794958851E-7</v>
      </c>
      <c r="G88" s="386">
        <f t="shared" si="22"/>
        <v>-6.9006720902058134E-7</v>
      </c>
      <c r="H88" s="386">
        <f t="shared" si="22"/>
        <v>-6.9971710543276909E-7</v>
      </c>
      <c r="I88" s="386">
        <f t="shared" si="22"/>
        <v>-7.0964071769268846E-7</v>
      </c>
      <c r="J88" s="386">
        <f t="shared" si="22"/>
        <v>-7.1984985911824929E-7</v>
      </c>
      <c r="K88" s="386">
        <f t="shared" si="22"/>
        <v>-7.3035703275220233E-7</v>
      </c>
      <c r="L88" s="386">
        <f t="shared" si="22"/>
        <v>-7.4117548244505683E-7</v>
      </c>
      <c r="M88" s="386">
        <f t="shared" si="22"/>
        <v>-7.5231924854626619E-7</v>
      </c>
      <c r="N88" s="386">
        <f t="shared" si="22"/>
        <v>-7.6380322869609364E-7</v>
      </c>
      <c r="O88" s="386">
        <f t="shared" si="22"/>
        <v>-7.7564324427162927E-7</v>
      </c>
      <c r="P88" s="386">
        <f t="shared" si="22"/>
        <v>-7.8785611311015171E-7</v>
      </c>
      <c r="Q88" s="386">
        <f t="shared" si="22"/>
        <v>-8.0045972921277746E-7</v>
      </c>
      <c r="R88" s="386">
        <f t="shared" si="22"/>
        <v>-8.134731502227733E-7</v>
      </c>
      <c r="S88" s="386">
        <f t="shared" si="22"/>
        <v>-8.2691669357792292E-7</v>
      </c>
      <c r="T88" s="386">
        <f t="shared" si="22"/>
        <v>-8.408120423572477E-7</v>
      </c>
      <c r="U88" s="386">
        <f t="shared" si="22"/>
        <v>-8.5518236198188774E-7</v>
      </c>
      <c r="V88" s="386">
        <f t="shared" si="22"/>
        <v>-8.7005242909127824E-7</v>
      </c>
      <c r="W88" s="386">
        <f t="shared" si="22"/>
        <v>-8.8544877410279415E-7</v>
      </c>
      <c r="X88" s="386">
        <f t="shared" si="22"/>
        <v>-9.0139983918037928E-7</v>
      </c>
      <c r="Y88" s="386">
        <f t="shared" si="22"/>
        <v>-9.1793615359092607E-7</v>
      </c>
      <c r="Z88" s="386">
        <f t="shared" si="22"/>
        <v>-9.350905287229963E-7</v>
      </c>
      <c r="AA88" s="386">
        <f t="shared" si="22"/>
        <v>-9.5289827538901386E-7</v>
      </c>
      <c r="AB88" s="386">
        <f t="shared" si="22"/>
        <v>-9.7139744643914548E-7</v>
      </c>
      <c r="AC88" s="386">
        <f t="shared" si="22"/>
        <v>-9.9062910819470028E-7</v>
      </c>
      <c r="AD88" s="386">
        <f t="shared" si="22"/>
        <v>-1.0106376447756889E-6</v>
      </c>
      <c r="AE88" s="386">
        <f t="shared" si="22"/>
        <v>-1.0314711000691407E-6</v>
      </c>
      <c r="AF88" s="386">
        <f t="shared" si="22"/>
        <v>-1.0531815628840319E-6</v>
      </c>
      <c r="AG88" s="386">
        <f t="shared" si="22"/>
        <v>-1.0758256017925973E-6</v>
      </c>
      <c r="AH88" s="386">
        <f t="shared" si="22"/>
        <v>-1.0994647573003418E-6</v>
      </c>
      <c r="AI88" s="386">
        <f t="shared" si="22"/>
        <v>-1.1241661003606679E-6</v>
      </c>
      <c r="AJ88" s="386">
        <f t="shared" si="22"/>
        <v>-1.1500028679077221E-6</v>
      </c>
      <c r="AK88" s="386">
        <f t="shared" si="22"/>
        <v>-1.1770551880897419E-6</v>
      </c>
      <c r="AL88" s="386">
        <f t="shared" si="22"/>
        <v>-1.2054109103293365E-6</v>
      </c>
      <c r="AM88" s="386">
        <f t="shared" si="22"/>
        <v>-1.2351665583243317E-6</v>
      </c>
      <c r="AN88" s="386">
        <f t="shared" si="22"/>
        <v>-1.2664284277704075E-6</v>
      </c>
      <c r="AO88" s="386">
        <f t="shared" si="22"/>
        <v>-1.2993138551115426E-6</v>
      </c>
      <c r="AP88" s="386">
        <f t="shared" si="22"/>
        <v>-1.3339526892346589E-6</v>
      </c>
      <c r="AQ88" s="386">
        <f t="shared" si="22"/>
        <v>-1.3704890050182748E-6</v>
      </c>
      <c r="AR88" s="386">
        <f t="shared" si="22"/>
        <v>-1.4090831064108225E-6</v>
      </c>
      <c r="AS88" s="386">
        <f t="shared" si="22"/>
        <v>-1.4499138777662083E-6</v>
      </c>
      <c r="AT88" s="386">
        <f t="shared" si="22"/>
        <v>-1.4931815561843664E-6</v>
      </c>
      <c r="AU88" s="386">
        <f t="shared" si="22"/>
        <v>-1.5391110155060171E-6</v>
      </c>
      <c r="AV88" s="386">
        <f t="shared" si="22"/>
        <v>-1.5879556756253057E-6</v>
      </c>
      <c r="AW88" s="386">
        <f t="shared" si="22"/>
        <v>-1.613559337950662E-6</v>
      </c>
      <c r="AX88" s="386">
        <f t="shared" si="22"/>
        <v>-1.6400021805873575E-6</v>
      </c>
      <c r="AY88" s="386">
        <f t="shared" si="22"/>
        <v>-1.6673261481178753E-6</v>
      </c>
      <c r="AZ88" s="386">
        <f t="shared" si="22"/>
        <v>-1.6955760278304566E-6</v>
      </c>
      <c r="BA88" s="386">
        <f t="shared" si="22"/>
        <v>-1.7247996946927376E-6</v>
      </c>
      <c r="BB88" s="386">
        <f t="shared" si="22"/>
        <v>-1.7550483821027511E-6</v>
      </c>
      <c r="BC88" s="386">
        <f t="shared" si="22"/>
        <v>-1.7863769816382732E-6</v>
      </c>
      <c r="BD88" s="386">
        <f t="shared" si="22"/>
        <v>-1.8188443754938278E-6</v>
      </c>
      <c r="BE88" s="386">
        <f t="shared" si="22"/>
        <v>-1.8355247022253373E-6</v>
      </c>
      <c r="BF88" s="386">
        <f t="shared" si="22"/>
        <v>-1.8525138058410169E-6</v>
      </c>
      <c r="BG88" s="386">
        <f t="shared" si="22"/>
        <v>-1.8559494356890005E-6</v>
      </c>
      <c r="BH88" s="386">
        <f t="shared" si="22"/>
        <v>-1.8593978324957909E-6</v>
      </c>
      <c r="BI88" s="386">
        <f t="shared" si="22"/>
        <v>-1.8628590675577706E-6</v>
      </c>
      <c r="BJ88" s="386">
        <f t="shared" si="22"/>
        <v>-1.8663332127031775E-6</v>
      </c>
      <c r="BK88" s="386">
        <f t="shared" si="22"/>
        <v>-1.8698203402970769E-6</v>
      </c>
      <c r="BL88" s="386">
        <f t="shared" si="22"/>
        <v>-1.8733205232463845E-6</v>
      </c>
      <c r="BM88" s="386">
        <f t="shared" si="22"/>
        <v>-1.8768338350049486E-6</v>
      </c>
      <c r="BN88" s="386">
        <f t="shared" si="22"/>
        <v>-1.8803603495786869E-6</v>
      </c>
      <c r="BO88" s="386">
        <f t="shared" si="23"/>
        <v>-1.8839001415307856E-6</v>
      </c>
      <c r="BP88" s="386"/>
    </row>
    <row r="89" spans="2:68">
      <c r="B89" s="359" t="s">
        <v>5</v>
      </c>
      <c r="C89" s="386">
        <f t="shared" si="22"/>
        <v>4.170436244846683</v>
      </c>
      <c r="D89" s="386">
        <f t="shared" si="22"/>
        <v>3.7714915332282488</v>
      </c>
      <c r="E89" s="386">
        <f t="shared" si="22"/>
        <v>3.4264639704626845</v>
      </c>
      <c r="F89" s="386">
        <f t="shared" si="22"/>
        <v>3.1392736319596288</v>
      </c>
      <c r="G89" s="386">
        <f t="shared" si="22"/>
        <v>2.8965022316061875</v>
      </c>
      <c r="H89" s="386">
        <f t="shared" si="22"/>
        <v>2.6885842718583324</v>
      </c>
      <c r="I89" s="386">
        <f t="shared" si="22"/>
        <v>2.508516844783927</v>
      </c>
      <c r="J89" s="386">
        <f t="shared" si="22"/>
        <v>2.351055353665608</v>
      </c>
      <c r="K89" s="386">
        <f t="shared" si="22"/>
        <v>2.2121942546444839</v>
      </c>
      <c r="L89" s="386">
        <f t="shared" si="22"/>
        <v>2.0888215506661312</v>
      </c>
      <c r="M89" s="386">
        <f t="shared" si="22"/>
        <v>1.9784827903567757</v>
      </c>
      <c r="N89" s="386">
        <f t="shared" si="22"/>
        <v>1.8792161123925271</v>
      </c>
      <c r="O89" s="386">
        <f t="shared" si="22"/>
        <v>1.7894345754467671</v>
      </c>
      <c r="P89" s="386">
        <f t="shared" si="22"/>
        <v>1.7078406809586322</v>
      </c>
      <c r="Q89" s="386">
        <f t="shared" si="22"/>
        <v>1.6333632614196705</v>
      </c>
      <c r="R89" s="386">
        <f t="shared" si="22"/>
        <v>1.5651101920902857</v>
      </c>
      <c r="S89" s="386">
        <f t="shared" si="22"/>
        <v>1.5023324833209764</v>
      </c>
      <c r="T89" s="386">
        <f t="shared" si="22"/>
        <v>1.4443966813147104</v>
      </c>
      <c r="U89" s="386">
        <f t="shared" si="22"/>
        <v>1.390763417770162</v>
      </c>
      <c r="V89" s="386">
        <f t="shared" si="22"/>
        <v>1.3409705673873267</v>
      </c>
      <c r="W89" s="386">
        <f t="shared" si="22"/>
        <v>1.2946198983396588</v>
      </c>
      <c r="X89" s="386">
        <f t="shared" si="22"/>
        <v>1.2513663988079531</v>
      </c>
      <c r="Y89" s="386">
        <f t="shared" si="22"/>
        <v>1.2109096739556986</v>
      </c>
      <c r="Z89" s="386">
        <f t="shared" si="22"/>
        <v>1.1729869594579478</v>
      </c>
      <c r="AA89" s="386">
        <f t="shared" si="22"/>
        <v>1.1373674079597711</v>
      </c>
      <c r="AB89" s="386">
        <f t="shared" si="22"/>
        <v>1.1038473858575226</v>
      </c>
      <c r="AC89" s="386">
        <f t="shared" si="22"/>
        <v>1.0722465779391273</v>
      </c>
      <c r="AD89" s="386">
        <f t="shared" si="22"/>
        <v>1.0424047424979783</v>
      </c>
      <c r="AE89" s="386">
        <f t="shared" si="22"/>
        <v>1.0141789936278969</v>
      </c>
      <c r="AF89" s="386">
        <f t="shared" si="22"/>
        <v>0.98744151341016595</v>
      </c>
      <c r="AG89" s="386">
        <f t="shared" si="22"/>
        <v>0.96207761669573466</v>
      </c>
      <c r="AH89" s="386">
        <f t="shared" si="22"/>
        <v>0.93798410667179544</v>
      </c>
      <c r="AI89" s="386">
        <f t="shared" si="22"/>
        <v>0.91506787148291369</v>
      </c>
      <c r="AJ89" s="386">
        <f t="shared" si="22"/>
        <v>0.89324468166482496</v>
      </c>
      <c r="AK89" s="386">
        <f t="shared" si="22"/>
        <v>0.87243815564791505</v>
      </c>
      <c r="AL89" s="386">
        <f t="shared" si="22"/>
        <v>0.85257886655001824</v>
      </c>
      <c r="AM89" s="386">
        <f t="shared" si="22"/>
        <v>0.83360356824643822</v>
      </c>
      <c r="AN89" s="386">
        <f t="shared" si="22"/>
        <v>0.81545452253903583</v>
      </c>
      <c r="AO89" s="386">
        <f t="shared" si="22"/>
        <v>0.79807891234493433</v>
      </c>
      <c r="AP89" s="386">
        <f t="shared" si="22"/>
        <v>0.78142832834225207</v>
      </c>
      <c r="AQ89" s="386">
        <f t="shared" si="22"/>
        <v>0.76545831856420088</v>
      </c>
      <c r="AR89" s="386">
        <f t="shared" si="22"/>
        <v>0.7501279921165972</v>
      </c>
      <c r="AS89" s="386">
        <f t="shared" si="22"/>
        <v>0.73539966958001746</v>
      </c>
      <c r="AT89" s="386">
        <f t="shared" si="22"/>
        <v>0.72123857380377332</v>
      </c>
      <c r="AU89" s="386">
        <f t="shared" si="22"/>
        <v>0.70761255574998361</v>
      </c>
      <c r="AV89" s="386">
        <f t="shared" si="22"/>
        <v>0.6944918508383956</v>
      </c>
      <c r="AW89" s="386">
        <f t="shared" si="22"/>
        <v>0.68811228747660003</v>
      </c>
      <c r="AX89" s="386">
        <f t="shared" si="22"/>
        <v>0.68184886190516814</v>
      </c>
      <c r="AY89" s="386">
        <f t="shared" si="22"/>
        <v>0.67569843135689645</v>
      </c>
      <c r="AZ89" s="386">
        <f t="shared" si="22"/>
        <v>0.66965796544476341</v>
      </c>
      <c r="BA89" s="386">
        <f t="shared" si="22"/>
        <v>0.66372454118327351</v>
      </c>
      <c r="BB89" s="386">
        <f t="shared" si="22"/>
        <v>0.65789533827215374</v>
      </c>
      <c r="BC89" s="386">
        <f t="shared" si="22"/>
        <v>0.65216763462641392</v>
      </c>
      <c r="BD89" s="386">
        <f t="shared" si="22"/>
        <v>0.64653880213788595</v>
      </c>
      <c r="BE89" s="386">
        <f t="shared" si="22"/>
        <v>0.64376066599680404</v>
      </c>
      <c r="BF89" s="386">
        <f t="shared" si="22"/>
        <v>0.64100630265437664</v>
      </c>
      <c r="BG89" s="386">
        <f t="shared" si="22"/>
        <v>0.64045825589241623</v>
      </c>
      <c r="BH89" s="386">
        <f t="shared" si="22"/>
        <v>0.63991114546657013</v>
      </c>
      <c r="BI89" s="386">
        <f t="shared" si="22"/>
        <v>0.6393649689792954</v>
      </c>
      <c r="BJ89" s="386">
        <f t="shared" si="22"/>
        <v>0.63881972404122789</v>
      </c>
      <c r="BK89" s="386">
        <f t="shared" si="22"/>
        <v>0.63827540827114704</v>
      </c>
      <c r="BL89" s="386">
        <f t="shared" si="22"/>
        <v>0.63773201929594059</v>
      </c>
      <c r="BM89" s="386">
        <f t="shared" si="22"/>
        <v>0.63718955475057137</v>
      </c>
      <c r="BN89" s="386">
        <f t="shared" ref="BN89:CT92" si="24">$E17*($C17-1)/(1+BN$83*($C17-1))</f>
        <v>0.63664801227804213</v>
      </c>
      <c r="BO89" s="386">
        <f t="shared" si="24"/>
        <v>0.63610738952936141</v>
      </c>
      <c r="BP89" s="386"/>
    </row>
    <row r="90" spans="2:68">
      <c r="B90" s="359" t="s">
        <v>338</v>
      </c>
      <c r="C90" s="386">
        <f t="shared" ref="C90:BN93" si="25">$E18*($C18-1)/(1+C$83*($C18-1))</f>
        <v>-1.0441433309200667E-2</v>
      </c>
      <c r="D90" s="386">
        <f t="shared" si="25"/>
        <v>-1.0461437373616019E-2</v>
      </c>
      <c r="E90" s="386">
        <f t="shared" si="25"/>
        <v>-1.0482577257231906E-2</v>
      </c>
      <c r="F90" s="386">
        <f t="shared" si="25"/>
        <v>-1.0503802750415859E-2</v>
      </c>
      <c r="G90" s="386">
        <f t="shared" si="25"/>
        <v>-1.0525114374258841E-2</v>
      </c>
      <c r="H90" s="386">
        <f t="shared" si="25"/>
        <v>-1.0546512654089481E-2</v>
      </c>
      <c r="I90" s="386">
        <f t="shared" si="25"/>
        <v>-1.0567998119517216E-2</v>
      </c>
      <c r="J90" s="386">
        <f t="shared" si="25"/>
        <v>-1.0589571304476001E-2</v>
      </c>
      <c r="K90" s="386">
        <f t="shared" si="25"/>
        <v>-1.0611232747268537E-2</v>
      </c>
      <c r="L90" s="386">
        <f t="shared" si="25"/>
        <v>-1.0632982990611039E-2</v>
      </c>
      <c r="M90" s="386">
        <f t="shared" si="25"/>
        <v>-1.0654822581678566E-2</v>
      </c>
      <c r="N90" s="386">
        <f t="shared" si="25"/>
        <v>-1.0676752072150904E-2</v>
      </c>
      <c r="O90" s="386">
        <f t="shared" si="25"/>
        <v>-1.0698772018259023E-2</v>
      </c>
      <c r="P90" s="386">
        <f t="shared" si="25"/>
        <v>-1.0720882980832104E-2</v>
      </c>
      <c r="Q90" s="386">
        <f t="shared" si="25"/>
        <v>-1.0743085525345147E-2</v>
      </c>
      <c r="R90" s="386">
        <f t="shared" si="25"/>
        <v>-1.0765380221967189E-2</v>
      </c>
      <c r="S90" s="386">
        <f t="shared" si="25"/>
        <v>-1.0787767645610102E-2</v>
      </c>
      <c r="T90" s="386">
        <f t="shared" si="25"/>
        <v>-1.0810248375978018E-2</v>
      </c>
      <c r="U90" s="386">
        <f t="shared" si="25"/>
        <v>-1.0832822997617361E-2</v>
      </c>
      <c r="V90" s="386">
        <f t="shared" si="25"/>
        <v>-1.0855492099967516E-2</v>
      </c>
      <c r="W90" s="386">
        <f t="shared" si="25"/>
        <v>-1.0878256277412133E-2</v>
      </c>
      <c r="X90" s="386">
        <f t="shared" si="25"/>
        <v>-1.0901116129331071E-2</v>
      </c>
      <c r="Y90" s="386">
        <f t="shared" si="25"/>
        <v>-1.092407226015301E-2</v>
      </c>
      <c r="Z90" s="386">
        <f t="shared" si="25"/>
        <v>-1.0947125279408727E-2</v>
      </c>
      <c r="AA90" s="386">
        <f t="shared" si="25"/>
        <v>-1.0970275801785036E-2</v>
      </c>
      <c r="AB90" s="386">
        <f t="shared" si="25"/>
        <v>-1.0993524447179425E-2</v>
      </c>
      <c r="AC90" s="386">
        <f t="shared" si="25"/>
        <v>-1.1016871840755388E-2</v>
      </c>
      <c r="AD90" s="386">
        <f t="shared" si="25"/>
        <v>-1.1040318612998465E-2</v>
      </c>
      <c r="AE90" s="386">
        <f t="shared" si="25"/>
        <v>-1.106386539977299E-2</v>
      </c>
      <c r="AF90" s="386">
        <f t="shared" si="25"/>
        <v>-1.1087512842379577E-2</v>
      </c>
      <c r="AG90" s="386">
        <f t="shared" si="25"/>
        <v>-1.1111261587613341E-2</v>
      </c>
      <c r="AH90" s="386">
        <f t="shared" si="25"/>
        <v>-1.1135112287822867E-2</v>
      </c>
      <c r="AI90" s="386">
        <f t="shared" si="25"/>
        <v>-1.1159065600969941E-2</v>
      </c>
      <c r="AJ90" s="386">
        <f t="shared" si="25"/>
        <v>-1.1183122190690059E-2</v>
      </c>
      <c r="AK90" s="386">
        <f t="shared" si="25"/>
        <v>-1.1207282726353709E-2</v>
      </c>
      <c r="AL90" s="386">
        <f t="shared" si="25"/>
        <v>-1.1231547883128464E-2</v>
      </c>
      <c r="AM90" s="386">
        <f t="shared" si="25"/>
        <v>-1.1255918342041867E-2</v>
      </c>
      <c r="AN90" s="386">
        <f t="shared" si="25"/>
        <v>-1.1280394790045147E-2</v>
      </c>
      <c r="AO90" s="386">
        <f t="shared" si="25"/>
        <v>-1.130497792007777E-2</v>
      </c>
      <c r="AP90" s="386">
        <f t="shared" si="25"/>
        <v>-1.132966843113283E-2</v>
      </c>
      <c r="AQ90" s="386">
        <f t="shared" si="25"/>
        <v>-1.1354467028323297E-2</v>
      </c>
      <c r="AR90" s="386">
        <f t="shared" si="25"/>
        <v>-1.1379374422949146E-2</v>
      </c>
      <c r="AS90" s="386">
        <f t="shared" si="25"/>
        <v>-1.1404391332565354E-2</v>
      </c>
      <c r="AT90" s="386">
        <f t="shared" si="25"/>
        <v>-1.1429518481050827E-2</v>
      </c>
      <c r="AU90" s="386">
        <f t="shared" si="25"/>
        <v>-1.1454756598678204E-2</v>
      </c>
      <c r="AV90" s="386">
        <f t="shared" si="25"/>
        <v>-1.1480106422184617E-2</v>
      </c>
      <c r="AW90" s="386">
        <f t="shared" si="25"/>
        <v>-1.1492823455658071E-2</v>
      </c>
      <c r="AX90" s="386">
        <f t="shared" si="25"/>
        <v>-1.1505568694843371E-2</v>
      </c>
      <c r="AY90" s="386">
        <f t="shared" si="25"/>
        <v>-1.1518342233682876E-2</v>
      </c>
      <c r="AZ90" s="386">
        <f t="shared" si="25"/>
        <v>-1.153114416653659E-2</v>
      </c>
      <c r="BA90" s="386">
        <f t="shared" si="25"/>
        <v>-1.1543974588184486E-2</v>
      </c>
      <c r="BB90" s="386">
        <f t="shared" si="25"/>
        <v>-1.1556833593828844E-2</v>
      </c>
      <c r="BC90" s="386">
        <f t="shared" si="25"/>
        <v>-1.1569721279096607E-2</v>
      </c>
      <c r="BD90" s="386">
        <f t="shared" si="25"/>
        <v>-1.1582637740041743E-2</v>
      </c>
      <c r="BE90" s="386">
        <f t="shared" si="25"/>
        <v>-1.1589106791527548E-2</v>
      </c>
      <c r="BF90" s="386">
        <f t="shared" si="25"/>
        <v>-1.1595583073147651E-2</v>
      </c>
      <c r="BG90" s="386">
        <f t="shared" si="25"/>
        <v>-1.1596879198154567E-2</v>
      </c>
      <c r="BH90" s="386">
        <f t="shared" si="25"/>
        <v>-1.1598175612949038E-2</v>
      </c>
      <c r="BI90" s="386">
        <f t="shared" si="25"/>
        <v>-1.1599472317628258E-2</v>
      </c>
      <c r="BJ90" s="386">
        <f t="shared" si="25"/>
        <v>-1.1600769312289474E-2</v>
      </c>
      <c r="BK90" s="386">
        <f t="shared" si="25"/>
        <v>-1.1602066597029965E-2</v>
      </c>
      <c r="BL90" s="386">
        <f t="shared" si="25"/>
        <v>-1.1603364171947059E-2</v>
      </c>
      <c r="BM90" s="386">
        <f t="shared" si="25"/>
        <v>-1.1604662037138128E-2</v>
      </c>
      <c r="BN90" s="386">
        <f t="shared" si="25"/>
        <v>-1.1605960192700585E-2</v>
      </c>
      <c r="BO90" s="386">
        <f t="shared" si="24"/>
        <v>-1.1607258638731891E-2</v>
      </c>
      <c r="BP90" s="386"/>
    </row>
    <row r="91" spans="2:68">
      <c r="B91" s="359" t="s">
        <v>7</v>
      </c>
      <c r="C91" s="386">
        <f t="shared" si="25"/>
        <v>-3.8852521379536098E-2</v>
      </c>
      <c r="D91" s="386">
        <f t="shared" si="25"/>
        <v>-3.9444685829387316E-2</v>
      </c>
      <c r="E91" s="386">
        <f t="shared" si="25"/>
        <v>-4.0087835611329892E-2</v>
      </c>
      <c r="F91" s="386">
        <f t="shared" si="25"/>
        <v>-4.075230628332728E-2</v>
      </c>
      <c r="G91" s="386">
        <f t="shared" si="25"/>
        <v>-4.1439175919726824E-2</v>
      </c>
      <c r="H91" s="386">
        <f t="shared" si="25"/>
        <v>-4.2149596523588184E-2</v>
      </c>
      <c r="I91" s="386">
        <f t="shared" si="25"/>
        <v>-4.2884800474275474E-2</v>
      </c>
      <c r="J91" s="386">
        <f t="shared" si="25"/>
        <v>-4.3646107661809944E-2</v>
      </c>
      <c r="K91" s="386">
        <f t="shared" si="25"/>
        <v>-4.4434933394867031E-2</v>
      </c>
      <c r="L91" s="386">
        <f t="shared" si="25"/>
        <v>-4.5252797182095066E-2</v>
      </c>
      <c r="M91" s="386">
        <f t="shared" si="25"/>
        <v>-4.6101332501385019E-2</v>
      </c>
      <c r="N91" s="386">
        <f t="shared" si="25"/>
        <v>-4.6982297689245119E-2</v>
      </c>
      <c r="O91" s="386">
        <f t="shared" si="25"/>
        <v>-4.7897588103030096E-2</v>
      </c>
      <c r="P91" s="386">
        <f t="shared" si="25"/>
        <v>-4.8849249733054809E-2</v>
      </c>
      <c r="Q91" s="386">
        <f t="shared" si="25"/>
        <v>-4.9839494470330883E-2</v>
      </c>
      <c r="R91" s="386">
        <f t="shared" si="25"/>
        <v>-5.0870717269720436E-2</v>
      </c>
      <c r="S91" s="386">
        <f t="shared" si="25"/>
        <v>-5.1945515488831875E-2</v>
      </c>
      <c r="T91" s="386">
        <f t="shared" si="25"/>
        <v>-5.3066710731387405E-2</v>
      </c>
      <c r="U91" s="386">
        <f t="shared" si="25"/>
        <v>-5.4237373581806157E-2</v>
      </c>
      <c r="V91" s="386">
        <f t="shared" si="25"/>
        <v>-5.5460851687540454E-2</v>
      </c>
      <c r="W91" s="386">
        <f t="shared" si="25"/>
        <v>-5.6740801729991311E-2</v>
      </c>
      <c r="X91" s="386">
        <f t="shared" si="25"/>
        <v>-5.8081225927040063E-2</v>
      </c>
      <c r="Y91" s="386">
        <f t="shared" si="25"/>
        <v>-5.9486513834700397E-2</v>
      </c>
      <c r="Z91" s="386">
        <f t="shared" si="25"/>
        <v>-6.0961490367637323E-2</v>
      </c>
      <c r="AA91" s="386">
        <f t="shared" si="25"/>
        <v>-6.2511471145381539E-2</v>
      </c>
      <c r="AB91" s="386">
        <f t="shared" si="25"/>
        <v>-6.4142326502073868E-2</v>
      </c>
      <c r="AC91" s="386">
        <f t="shared" si="25"/>
        <v>-6.5860555784275854E-2</v>
      </c>
      <c r="AD91" s="386">
        <f t="shared" si="25"/>
        <v>-6.7673373919106911E-2</v>
      </c>
      <c r="AE91" s="386">
        <f t="shared" si="25"/>
        <v>-6.9588812683817503E-2</v>
      </c>
      <c r="AF91" s="386">
        <f t="shared" si="25"/>
        <v>-7.1615839674427861E-2</v>
      </c>
      <c r="AG91" s="386">
        <f t="shared" si="25"/>
        <v>-7.3764498690553973E-2</v>
      </c>
      <c r="AH91" s="386">
        <f t="shared" si="25"/>
        <v>-7.6046076173323762E-2</v>
      </c>
      <c r="AI91" s="386">
        <f t="shared" si="25"/>
        <v>-7.8473299517284656E-2</v>
      </c>
      <c r="AJ91" s="386">
        <f t="shared" si="25"/>
        <v>-8.1060574612530648E-2</v>
      </c>
      <c r="AK91" s="386">
        <f t="shared" si="25"/>
        <v>-8.3824271979715689E-2</v>
      </c>
      <c r="AL91" s="386">
        <f t="shared" si="25"/>
        <v>-8.6783073504463765E-2</v>
      </c>
      <c r="AM91" s="386">
        <f t="shared" si="25"/>
        <v>-8.9958395292152202E-2</v>
      </c>
      <c r="AN91" s="386">
        <f t="shared" si="25"/>
        <v>-9.3374906879789429E-2</v>
      </c>
      <c r="AO91" s="386">
        <f t="shared" si="25"/>
        <v>-9.7061173432971742E-2</v>
      </c>
      <c r="AP91" s="386">
        <f t="shared" si="25"/>
        <v>-0.10105045631133476</v>
      </c>
      <c r="AQ91" s="386">
        <f t="shared" si="25"/>
        <v>-0.10538171951885555</v>
      </c>
      <c r="AR91" s="386">
        <f t="shared" si="25"/>
        <v>-0.11010090657831925</v>
      </c>
      <c r="AS91" s="386">
        <f t="shared" si="25"/>
        <v>-0.11526257657474255</v>
      </c>
      <c r="AT91" s="386">
        <f t="shared" si="25"/>
        <v>-0.12093202303342716</v>
      </c>
      <c r="AU91" s="386">
        <f t="shared" si="25"/>
        <v>-0.12718805047786971</v>
      </c>
      <c r="AV91" s="386">
        <f t="shared" si="25"/>
        <v>-0.13412665982072275</v>
      </c>
      <c r="AW91" s="386">
        <f t="shared" si="25"/>
        <v>-0.13788782183740592</v>
      </c>
      <c r="AX91" s="386">
        <f t="shared" si="25"/>
        <v>-0.14186600967693372</v>
      </c>
      <c r="AY91" s="386">
        <f t="shared" si="25"/>
        <v>-0.14608056555084534</v>
      </c>
      <c r="AZ91" s="386">
        <f t="shared" si="25"/>
        <v>-0.15055320051834556</v>
      </c>
      <c r="BA91" s="386">
        <f t="shared" si="25"/>
        <v>-0.15530836858226352</v>
      </c>
      <c r="BB91" s="386">
        <f t="shared" si="25"/>
        <v>-0.16037371399131364</v>
      </c>
      <c r="BC91" s="386">
        <f t="shared" si="25"/>
        <v>-0.16578060902537914</v>
      </c>
      <c r="BD91" s="386">
        <f t="shared" si="25"/>
        <v>-0.17156480436290455</v>
      </c>
      <c r="BE91" s="386">
        <f t="shared" si="25"/>
        <v>-0.17461095026114645</v>
      </c>
      <c r="BF91" s="386">
        <f t="shared" si="25"/>
        <v>-0.17776722052090319</v>
      </c>
      <c r="BG91" s="386">
        <f t="shared" si="25"/>
        <v>-0.17841221692394904</v>
      </c>
      <c r="BH91" s="386">
        <f t="shared" si="25"/>
        <v>-0.17906191087821435</v>
      </c>
      <c r="BI91" s="386">
        <f t="shared" si="25"/>
        <v>-0.17971635389012297</v>
      </c>
      <c r="BJ91" s="386">
        <f t="shared" si="25"/>
        <v>-0.18037559822185265</v>
      </c>
      <c r="BK91" s="386">
        <f t="shared" si="25"/>
        <v>-0.18103969690524679</v>
      </c>
      <c r="BL91" s="386">
        <f t="shared" si="25"/>
        <v>-0.18170870375603609</v>
      </c>
      <c r="BM91" s="386">
        <f t="shared" si="25"/>
        <v>-0.18238267338837572</v>
      </c>
      <c r="BN91" s="386">
        <f t="shared" si="25"/>
        <v>-0.18306166122970718</v>
      </c>
      <c r="BO91" s="386">
        <f t="shared" si="24"/>
        <v>-0.18374572353595442</v>
      </c>
      <c r="BP91" s="386"/>
    </row>
    <row r="92" spans="2:68">
      <c r="B92" s="359" t="s">
        <v>8</v>
      </c>
      <c r="C92" s="386">
        <f t="shared" si="25"/>
        <v>-5.9681430432146536E-3</v>
      </c>
      <c r="D92" s="386">
        <f t="shared" si="25"/>
        <v>-6.0746290803136878E-3</v>
      </c>
      <c r="E92" s="386">
        <f t="shared" si="25"/>
        <v>-6.1909034153858952E-3</v>
      </c>
      <c r="F92" s="386">
        <f t="shared" si="25"/>
        <v>-6.3117158223167068E-3</v>
      </c>
      <c r="G92" s="386">
        <f t="shared" si="25"/>
        <v>-6.4373372634607077E-3</v>
      </c>
      <c r="H92" s="386">
        <f t="shared" si="25"/>
        <v>-6.5680607109766531E-3</v>
      </c>
      <c r="I92" s="386">
        <f t="shared" si="25"/>
        <v>-6.7042034279228106E-3</v>
      </c>
      <c r="J92" s="386">
        <f t="shared" si="25"/>
        <v>-6.8461095390523795E-3</v>
      </c>
      <c r="K92" s="386">
        <f t="shared" si="25"/>
        <v>-6.9941529351612141E-3</v>
      </c>
      <c r="L92" s="386">
        <f t="shared" si="25"/>
        <v>-7.1487405625940484E-3</v>
      </c>
      <c r="M92" s="386">
        <f t="shared" si="25"/>
        <v>-7.3103161588465694E-3</v>
      </c>
      <c r="N92" s="386">
        <f t="shared" si="25"/>
        <v>-7.4793645064739692E-3</v>
      </c>
      <c r="O92" s="386">
        <f t="shared" si="25"/>
        <v>-7.656416291191531E-3</v>
      </c>
      <c r="P92" s="386">
        <f t="shared" si="25"/>
        <v>-7.8420536667119303E-3</v>
      </c>
      <c r="Q92" s="386">
        <f t="shared" si="25"/>
        <v>-8.0369166492484378E-3</v>
      </c>
      <c r="R92" s="386">
        <f t="shared" si="25"/>
        <v>-8.2417104896728207E-3</v>
      </c>
      <c r="S92" s="386">
        <f t="shared" si="25"/>
        <v>-8.4572142022734994E-3</v>
      </c>
      <c r="T92" s="386">
        <f t="shared" si="25"/>
        <v>-8.6842904674970019E-3</v>
      </c>
      <c r="U92" s="386">
        <f t="shared" si="25"/>
        <v>-8.9238971740380757E-3</v>
      </c>
      <c r="V92" s="386">
        <f t="shared" si="25"/>
        <v>-9.177100925878796E-3</v>
      </c>
      <c r="W92" s="386">
        <f t="shared" si="25"/>
        <v>-9.4450929159432522E-3</v>
      </c>
      <c r="X92" s="386">
        <f t="shared" si="25"/>
        <v>-9.7292076646934861E-3</v>
      </c>
      <c r="Y92" s="386">
        <f t="shared" si="25"/>
        <v>-1.0030945245631331E-2</v>
      </c>
      <c r="Z92" s="386">
        <f t="shared" si="25"/>
        <v>-1.0351997778924652E-2</v>
      </c>
      <c r="AA92" s="386">
        <f t="shared" si="25"/>
        <v>-1.0694281181021106E-2</v>
      </c>
      <c r="AB92" s="386">
        <f t="shared" si="25"/>
        <v>-1.1059973428353331E-2</v>
      </c>
      <c r="AC92" s="386">
        <f t="shared" si="25"/>
        <v>-1.1451560949593242E-2</v>
      </c>
      <c r="AD92" s="386">
        <f t="shared" si="25"/>
        <v>-1.1871895234987714E-2</v>
      </c>
      <c r="AE92" s="386">
        <f t="shared" si="25"/>
        <v>-1.2324262387960097E-2</v>
      </c>
      <c r="AF92" s="386">
        <f t="shared" si="25"/>
        <v>-1.2812469207794126E-2</v>
      </c>
      <c r="AG92" s="386">
        <f t="shared" si="25"/>
        <v>-1.3340950576452395E-2</v>
      </c>
      <c r="AH92" s="386">
        <f t="shared" si="25"/>
        <v>-1.3914904565350343E-2</v>
      </c>
      <c r="AI92" s="386">
        <f t="shared" si="25"/>
        <v>-1.4540463985347569E-2</v>
      </c>
      <c r="AJ92" s="386">
        <f t="shared" si="25"/>
        <v>-1.5224916388206946E-2</v>
      </c>
      <c r="AK92" s="386">
        <f t="shared" si="25"/>
        <v>-1.5976989273192951E-2</v>
      </c>
      <c r="AL92" s="386">
        <f t="shared" si="25"/>
        <v>-1.6807224217238768E-2</v>
      </c>
      <c r="AM92" s="386">
        <f t="shared" si="25"/>
        <v>-1.772847404768681E-2</v>
      </c>
      <c r="AN92" s="386">
        <f t="shared" si="25"/>
        <v>-1.8756573005476538E-2</v>
      </c>
      <c r="AO92" s="386">
        <f t="shared" si="25"/>
        <v>-1.9911254445554083E-2</v>
      </c>
      <c r="AP92" s="386">
        <f t="shared" si="25"/>
        <v>-2.1217429743335018E-2</v>
      </c>
      <c r="AQ92" s="386">
        <f t="shared" si="25"/>
        <v>-2.2707005917294139E-2</v>
      </c>
      <c r="AR92" s="386">
        <f t="shared" si="25"/>
        <v>-2.4421526702710743E-2</v>
      </c>
      <c r="AS92" s="386">
        <f t="shared" si="25"/>
        <v>-2.6416107853077825E-2</v>
      </c>
      <c r="AT92" s="386">
        <f t="shared" si="25"/>
        <v>-2.8765472400596744E-2</v>
      </c>
      <c r="AU92" s="386">
        <f t="shared" si="25"/>
        <v>-3.1573520842904525E-2</v>
      </c>
      <c r="AV92" s="386">
        <f t="shared" si="25"/>
        <v>-3.4989113089791482E-2</v>
      </c>
      <c r="AW92" s="386">
        <f t="shared" si="25"/>
        <v>-3.6989877252013033E-2</v>
      </c>
      <c r="AX92" s="386">
        <f t="shared" si="25"/>
        <v>-3.9233336630149711E-2</v>
      </c>
      <c r="AY92" s="386">
        <f t="shared" si="25"/>
        <v>-4.1766501266515779E-2</v>
      </c>
      <c r="AZ92" s="386">
        <f t="shared" si="25"/>
        <v>-4.4649360344424106E-2</v>
      </c>
      <c r="BA92" s="386">
        <f t="shared" si="25"/>
        <v>-4.7959693598890643E-2</v>
      </c>
      <c r="BB92" s="386">
        <f t="shared" si="25"/>
        <v>-5.1800194446889582E-2</v>
      </c>
      <c r="BC92" s="386">
        <f t="shared" si="25"/>
        <v>-5.630931345600311E-2</v>
      </c>
      <c r="BD92" s="386">
        <f t="shared" si="25"/>
        <v>-6.1678305244499708E-2</v>
      </c>
      <c r="BE92" s="386">
        <f t="shared" si="25"/>
        <v>-6.4765964368045978E-2</v>
      </c>
      <c r="BF92" s="386">
        <f t="shared" si="25"/>
        <v>-6.8179055603862698E-2</v>
      </c>
      <c r="BG92" s="386">
        <f t="shared" si="25"/>
        <v>-6.8905301504658387E-2</v>
      </c>
      <c r="BH92" s="386">
        <f t="shared" si="25"/>
        <v>-6.9647185986285456E-2</v>
      </c>
      <c r="BI92" s="386">
        <f t="shared" si="25"/>
        <v>-7.0405219675452768E-2</v>
      </c>
      <c r="BJ92" s="386">
        <f t="shared" si="25"/>
        <v>-7.1179935673946079E-2</v>
      </c>
      <c r="BK92" s="386">
        <f t="shared" si="25"/>
        <v>-7.1971890808927783E-2</v>
      </c>
      <c r="BL92" s="386">
        <f t="shared" si="25"/>
        <v>-7.2781666967641601E-2</v>
      </c>
      <c r="BM92" s="386">
        <f t="shared" si="25"/>
        <v>-7.3609872523245842E-2</v>
      </c>
      <c r="BN92" s="386">
        <f t="shared" si="25"/>
        <v>-7.4457143859116171E-2</v>
      </c>
      <c r="BO92" s="386">
        <f t="shared" si="24"/>
        <v>-7.5324146999646402E-2</v>
      </c>
      <c r="BP92" s="386"/>
    </row>
    <row r="93" spans="2:68">
      <c r="B93" s="359" t="s">
        <v>9</v>
      </c>
      <c r="C93" s="386">
        <f t="shared" si="25"/>
        <v>-1.349846536960759E-2</v>
      </c>
      <c r="D93" s="386">
        <f t="shared" si="25"/>
        <v>-1.3745479797943614E-2</v>
      </c>
      <c r="E93" s="386">
        <f t="shared" si="25"/>
        <v>-1.4015453507923917E-2</v>
      </c>
      <c r="F93" s="386">
        <f t="shared" si="25"/>
        <v>-1.4296244741729263E-2</v>
      </c>
      <c r="G93" s="386">
        <f t="shared" si="25"/>
        <v>-1.4588516959254248E-2</v>
      </c>
      <c r="H93" s="386">
        <f t="shared" si="25"/>
        <v>-1.4892989007789943E-2</v>
      </c>
      <c r="I93" s="386">
        <f t="shared" si="25"/>
        <v>-1.521044102508364E-2</v>
      </c>
      <c r="J93" s="386">
        <f t="shared" si="25"/>
        <v>-1.5541721113802707E-2</v>
      </c>
      <c r="K93" s="386">
        <f t="shared" si="25"/>
        <v>-1.5887752907628137E-2</v>
      </c>
      <c r="L93" s="386">
        <f t="shared" si="25"/>
        <v>-1.6249544171105353E-2</v>
      </c>
      <c r="M93" s="386">
        <f t="shared" si="25"/>
        <v>-1.6628196601874937E-2</v>
      </c>
      <c r="N93" s="386">
        <f t="shared" si="25"/>
        <v>-1.7024917036090513E-2</v>
      </c>
      <c r="O93" s="386">
        <f t="shared" si="25"/>
        <v>-1.7441030297095043E-2</v>
      </c>
      <c r="P93" s="386">
        <f t="shared" si="25"/>
        <v>-1.7877993975544269E-2</v>
      </c>
      <c r="Q93" s="386">
        <f t="shared" si="25"/>
        <v>-1.8337415488412293E-2</v>
      </c>
      <c r="R93" s="386">
        <f t="shared" si="25"/>
        <v>-1.8821071837623906E-2</v>
      </c>
      <c r="S93" s="386">
        <f t="shared" si="25"/>
        <v>-1.9330932580241846E-2</v>
      </c>
      <c r="T93" s="386">
        <f t="shared" si="25"/>
        <v>-1.9869186636170866E-2</v>
      </c>
      <c r="U93" s="386">
        <f t="shared" si="25"/>
        <v>-2.043827370276936E-2</v>
      </c>
      <c r="V93" s="386">
        <f t="shared" si="25"/>
        <v>-2.1040921227250695E-2</v>
      </c>
      <c r="W93" s="386">
        <f t="shared" si="25"/>
        <v>-2.168018811887468E-2</v>
      </c>
      <c r="X93" s="386">
        <f t="shared" si="25"/>
        <v>-2.2359516679224509E-2</v>
      </c>
      <c r="Y93" s="386">
        <f t="shared" si="25"/>
        <v>-2.3082794611419898E-2</v>
      </c>
      <c r="Z93" s="386">
        <f t="shared" si="25"/>
        <v>-2.3854429466767905E-2</v>
      </c>
      <c r="AA93" s="386">
        <f t="shared" si="25"/>
        <v>-2.467943853990625E-2</v>
      </c>
      <c r="AB93" s="386">
        <f t="shared" si="25"/>
        <v>-2.5563558086441399E-2</v>
      </c>
      <c r="AC93" s="386">
        <f t="shared" si="25"/>
        <v>-2.6513376888597638E-2</v>
      </c>
      <c r="AD93" s="386">
        <f t="shared" si="25"/>
        <v>-2.7536500745829806E-2</v>
      </c>
      <c r="AE93" s="386">
        <f t="shared" si="25"/>
        <v>-2.8641756579229457E-2</v>
      </c>
      <c r="AF93" s="386">
        <f t="shared" si="25"/>
        <v>-2.9839447745229692E-2</v>
      </c>
      <c r="AG93" s="386">
        <f t="shared" si="25"/>
        <v>-3.1141676202445061E-2</v>
      </c>
      <c r="AH93" s="386">
        <f t="shared" si="25"/>
        <v>-3.2562752886438694E-2</v>
      </c>
      <c r="AI93" s="386">
        <f t="shared" si="25"/>
        <v>-3.4119725815764577E-2</v>
      </c>
      <c r="AJ93" s="386">
        <f t="shared" si="25"/>
        <v>-3.5833067312886956E-2</v>
      </c>
      <c r="AK93" s="386">
        <f t="shared" si="25"/>
        <v>-3.7727579227350393E-2</v>
      </c>
      <c r="AL93" s="386">
        <f t="shared" si="25"/>
        <v>-3.9833601346176306E-2</v>
      </c>
      <c r="AM93" s="386">
        <f t="shared" si="25"/>
        <v>-4.2188648466995889E-2</v>
      </c>
      <c r="AN93" s="386">
        <f t="shared" si="25"/>
        <v>-4.4839664685659066E-2</v>
      </c>
      <c r="AO93" s="386">
        <f t="shared" si="25"/>
        <v>-4.7846184589898234E-2</v>
      </c>
      <c r="AP93" s="386">
        <f t="shared" si="25"/>
        <v>-5.1284857610132718E-2</v>
      </c>
      <c r="AQ93" s="386">
        <f t="shared" si="25"/>
        <v>-5.5256074415061758E-2</v>
      </c>
      <c r="AR93" s="386">
        <f t="shared" si="25"/>
        <v>-5.9893930381271131E-2</v>
      </c>
      <c r="AS93" s="386">
        <f t="shared" si="25"/>
        <v>-6.5381666435024091E-2</v>
      </c>
      <c r="AT93" s="386">
        <f t="shared" si="25"/>
        <v>-7.1976454631199269E-2</v>
      </c>
      <c r="AU93" s="386">
        <f t="shared" si="25"/>
        <v>-8.0050866602452558E-2</v>
      </c>
      <c r="AV93" s="386">
        <f t="shared" si="25"/>
        <v>-9.0165780753846125E-2</v>
      </c>
      <c r="AW93" s="386">
        <f t="shared" si="25"/>
        <v>-9.6246442624494596E-2</v>
      </c>
      <c r="AX93" s="386">
        <f t="shared" si="25"/>
        <v>-0.10320655734664025</v>
      </c>
      <c r="AY93" s="386">
        <f t="shared" si="25"/>
        <v>-0.11125179222286842</v>
      </c>
      <c r="AZ93" s="386">
        <f t="shared" si="25"/>
        <v>-0.12065736557555685</v>
      </c>
      <c r="BA93" s="386">
        <f t="shared" si="25"/>
        <v>-0.1318001621864906</v>
      </c>
      <c r="BB93" s="386">
        <f t="shared" si="25"/>
        <v>-0.14521045466553567</v>
      </c>
      <c r="BC93" s="386">
        <f t="shared" si="25"/>
        <v>-0.1616587764087051</v>
      </c>
      <c r="BD93" s="386">
        <f t="shared" si="25"/>
        <v>-0.18230937846560499</v>
      </c>
      <c r="BE93" s="386">
        <f t="shared" si="25"/>
        <v>-0.19474812810931127</v>
      </c>
      <c r="BF93" s="386">
        <f t="shared" si="25"/>
        <v>-0.20900852866196926</v>
      </c>
      <c r="BG93" s="386">
        <f t="shared" si="25"/>
        <v>-0.21211494525441538</v>
      </c>
      <c r="BH93" s="386">
        <f t="shared" si="25"/>
        <v>-0.21531509399898827</v>
      </c>
      <c r="BI93" s="386">
        <f t="shared" si="25"/>
        <v>-0.21861328225209228</v>
      </c>
      <c r="BJ93" s="386">
        <f t="shared" si="25"/>
        <v>-0.22201408539540696</v>
      </c>
      <c r="BK93" s="386">
        <f t="shared" si="25"/>
        <v>-0.22552236801265757</v>
      </c>
      <c r="BL93" s="386">
        <f t="shared" si="25"/>
        <v>-0.22914330710645037</v>
      </c>
      <c r="BM93" s="386">
        <f t="shared" si="25"/>
        <v>-0.23288241758818676</v>
      </c>
      <c r="BN93" s="386">
        <f t="shared" ref="BN93:CT96" si="26">$E21*($C21-1)/(1+BN$83*($C21-1))</f>
        <v>-0.23674558030500961</v>
      </c>
      <c r="BO93" s="386">
        <f t="shared" si="26"/>
        <v>-0.24073907290335345</v>
      </c>
      <c r="BP93" s="386"/>
    </row>
    <row r="94" spans="2:68">
      <c r="B94" s="359" t="s">
        <v>124</v>
      </c>
      <c r="C94" s="386">
        <f t="shared" ref="C94:BN97" si="27">$E22*($C22-1)/(1+C$83*($C22-1))</f>
        <v>-3.2294973182022779E-3</v>
      </c>
      <c r="D94" s="386">
        <f t="shared" si="27"/>
        <v>-3.29071160639933E-3</v>
      </c>
      <c r="E94" s="386">
        <f t="shared" si="27"/>
        <v>-3.3577057602176322E-3</v>
      </c>
      <c r="F94" s="386">
        <f t="shared" si="27"/>
        <v>-3.4274844115682701E-3</v>
      </c>
      <c r="G94" s="386">
        <f t="shared" si="27"/>
        <v>-3.5002248440187283E-3</v>
      </c>
      <c r="H94" s="386">
        <f t="shared" si="27"/>
        <v>-3.5761197171931373E-3</v>
      </c>
      <c r="I94" s="386">
        <f t="shared" si="27"/>
        <v>-3.6553787707025039E-3</v>
      </c>
      <c r="J94" s="386">
        <f t="shared" si="27"/>
        <v>-3.7382307598003207E-3</v>
      </c>
      <c r="K94" s="386">
        <f t="shared" si="27"/>
        <v>-3.8249256603818584E-3</v>
      </c>
      <c r="L94" s="386">
        <f t="shared" si="27"/>
        <v>-3.9157371880905092E-3</v>
      </c>
      <c r="M94" s="386">
        <f t="shared" si="27"/>
        <v>-4.0109656850035123E-3</v>
      </c>
      <c r="N94" s="386">
        <f t="shared" si="27"/>
        <v>-4.1109414380320446E-3</v>
      </c>
      <c r="O94" s="386">
        <f t="shared" si="27"/>
        <v>-4.2160285062863732E-3</v>
      </c>
      <c r="P94" s="386">
        <f t="shared" si="27"/>
        <v>-4.3266291508691915E-3</v>
      </c>
      <c r="Q94" s="386">
        <f t="shared" si="27"/>
        <v>-4.4431889807034384E-3</v>
      </c>
      <c r="R94" s="386">
        <f t="shared" si="27"/>
        <v>-4.5662029531633704E-3</v>
      </c>
      <c r="S94" s="386">
        <f t="shared" si="27"/>
        <v>-4.6962223998883472E-3</v>
      </c>
      <c r="T94" s="386">
        <f t="shared" si="27"/>
        <v>-4.8338632881078586E-3</v>
      </c>
      <c r="U94" s="386">
        <f t="shared" si="27"/>
        <v>-4.979815978611201E-3</v>
      </c>
      <c r="V94" s="386">
        <f t="shared" si="27"/>
        <v>-5.1348568065359562E-3</v>
      </c>
      <c r="W94" s="386">
        <f t="shared" si="27"/>
        <v>-5.2998618950004673E-3</v>
      </c>
      <c r="X94" s="386">
        <f t="shared" si="27"/>
        <v>-5.4758237205121546E-3</v>
      </c>
      <c r="Y94" s="386">
        <f t="shared" si="27"/>
        <v>-5.6638710916502204E-3</v>
      </c>
      <c r="Z94" s="386">
        <f t="shared" si="27"/>
        <v>-5.8652933907184833E-3</v>
      </c>
      <c r="AA94" s="386">
        <f t="shared" si="27"/>
        <v>-6.0815701787174381E-3</v>
      </c>
      <c r="AB94" s="386">
        <f t="shared" si="27"/>
        <v>-6.3144076010061313E-3</v>
      </c>
      <c r="AC94" s="386">
        <f t="shared" si="27"/>
        <v>-6.5657834887969304E-3</v>
      </c>
      <c r="AD94" s="386">
        <f t="shared" si="27"/>
        <v>-6.8380036802138753E-3</v>
      </c>
      <c r="AE94" s="386">
        <f t="shared" si="27"/>
        <v>-7.1337729579317184E-3</v>
      </c>
      <c r="AF94" s="386">
        <f t="shared" si="27"/>
        <v>-7.4562852290245302E-3</v>
      </c>
      <c r="AG94" s="386">
        <f t="shared" si="27"/>
        <v>-7.8093393248360593E-3</v>
      </c>
      <c r="AH94" s="386">
        <f t="shared" si="27"/>
        <v>-8.1974893346708471E-3</v>
      </c>
      <c r="AI94" s="386">
        <f t="shared" si="27"/>
        <v>-8.6262421168483913E-3</v>
      </c>
      <c r="AJ94" s="386">
        <f t="shared" si="27"/>
        <v>-9.1023202129898867E-3</v>
      </c>
      <c r="AK94" s="386">
        <f t="shared" si="27"/>
        <v>-9.6340169084748704E-3</v>
      </c>
      <c r="AL94" s="386">
        <f t="shared" si="27"/>
        <v>-1.0231683454440919E-2</v>
      </c>
      <c r="AM94" s="386">
        <f t="shared" si="27"/>
        <v>-1.0908409639716446E-2</v>
      </c>
      <c r="AN94" s="386">
        <f t="shared" si="27"/>
        <v>-1.1680993570230752E-2</v>
      </c>
      <c r="AO94" s="386">
        <f t="shared" si="27"/>
        <v>-1.2571354965909451E-2</v>
      </c>
      <c r="AP94" s="386">
        <f t="shared" si="27"/>
        <v>-1.3608648145026095E-2</v>
      </c>
      <c r="AQ94" s="386">
        <f t="shared" si="27"/>
        <v>-1.4832515171124208E-2</v>
      </c>
      <c r="AR94" s="386">
        <f t="shared" si="27"/>
        <v>-1.6298267860470901E-2</v>
      </c>
      <c r="AS94" s="386">
        <f t="shared" si="27"/>
        <v>-1.8085479235008708E-2</v>
      </c>
      <c r="AT94" s="386">
        <f t="shared" si="27"/>
        <v>-2.0312923820736035E-2</v>
      </c>
      <c r="AU94" s="386">
        <f t="shared" si="27"/>
        <v>-2.3166109173489706E-2</v>
      </c>
      <c r="AV94" s="386">
        <f t="shared" si="27"/>
        <v>-2.6951801811171686E-2</v>
      </c>
      <c r="AW94" s="386">
        <f t="shared" si="27"/>
        <v>-2.9349911550753085E-2</v>
      </c>
      <c r="AX94" s="386">
        <f t="shared" si="27"/>
        <v>-3.2216458404093783E-2</v>
      </c>
      <c r="AY94" s="386">
        <f t="shared" si="27"/>
        <v>-3.5703552605272026E-2</v>
      </c>
      <c r="AZ94" s="386">
        <f t="shared" si="27"/>
        <v>-4.0037155339114346E-2</v>
      </c>
      <c r="BA94" s="386">
        <f t="shared" si="27"/>
        <v>-4.5568089451026271E-2</v>
      </c>
      <c r="BB94" s="386">
        <f t="shared" si="27"/>
        <v>-5.2872108592961417E-2</v>
      </c>
      <c r="BC94" s="386">
        <f t="shared" si="27"/>
        <v>-6.2964576281787296E-2</v>
      </c>
      <c r="BD94" s="386">
        <f t="shared" si="27"/>
        <v>-7.7819024291029715E-2</v>
      </c>
      <c r="BE94" s="386">
        <f t="shared" si="27"/>
        <v>-8.8226062104897279E-2</v>
      </c>
      <c r="BF94" s="386">
        <f t="shared" si="27"/>
        <v>-0.10184636930064102</v>
      </c>
      <c r="BG94" s="386">
        <f t="shared" si="27"/>
        <v>-0.1050911561497084</v>
      </c>
      <c r="BH94" s="386">
        <f t="shared" si="27"/>
        <v>-0.10854950228320355</v>
      </c>
      <c r="BI94" s="386">
        <f t="shared" si="27"/>
        <v>-0.11224320859176677</v>
      </c>
      <c r="BJ94" s="386">
        <f t="shared" si="27"/>
        <v>-0.11619714784533991</v>
      </c>
      <c r="BK94" s="386">
        <f t="shared" si="27"/>
        <v>-0.12043982550700312</v>
      </c>
      <c r="BL94" s="386">
        <f t="shared" si="27"/>
        <v>-0.12500406806395303</v>
      </c>
      <c r="BM94" s="386">
        <f t="shared" si="27"/>
        <v>-0.12992787403518416</v>
      </c>
      <c r="BN94" s="386">
        <f t="shared" si="27"/>
        <v>-0.13525547434896276</v>
      </c>
      <c r="BO94" s="386">
        <f t="shared" si="26"/>
        <v>-0.14103866475505336</v>
      </c>
      <c r="BP94" s="386"/>
    </row>
    <row r="95" spans="2:68">
      <c r="B95" s="359" t="s">
        <v>125</v>
      </c>
      <c r="C95" s="386">
        <f t="shared" si="27"/>
        <v>-3.3938363949038192E-3</v>
      </c>
      <c r="D95" s="386">
        <f t="shared" si="27"/>
        <v>-3.4585411538985869E-3</v>
      </c>
      <c r="E95" s="386">
        <f t="shared" si="27"/>
        <v>-3.5293714544764299E-3</v>
      </c>
      <c r="F95" s="386">
        <f t="shared" si="27"/>
        <v>-3.6031635966618765E-3</v>
      </c>
      <c r="G95" s="386">
        <f t="shared" si="27"/>
        <v>-3.6801073263272857E-3</v>
      </c>
      <c r="H95" s="386">
        <f t="shared" si="27"/>
        <v>-3.7604089507117596E-3</v>
      </c>
      <c r="I95" s="386">
        <f t="shared" si="27"/>
        <v>-3.844293185610631E-3</v>
      </c>
      <c r="J95" s="386">
        <f t="shared" si="27"/>
        <v>-3.9320052554397593E-3</v>
      </c>
      <c r="K95" s="386">
        <f t="shared" si="27"/>
        <v>-4.0238132875050747E-3</v>
      </c>
      <c r="L95" s="386">
        <f t="shared" si="27"/>
        <v>-4.1200110497125837E-3</v>
      </c>
      <c r="M95" s="386">
        <f t="shared" si="27"/>
        <v>-4.2209210906012044E-3</v>
      </c>
      <c r="N95" s="386">
        <f t="shared" si="27"/>
        <v>-4.3268983524080299E-3</v>
      </c>
      <c r="O95" s="386">
        <f t="shared" si="27"/>
        <v>-4.4383343424441351E-3</v>
      </c>
      <c r="P95" s="386">
        <f t="shared" si="27"/>
        <v>-4.5556619660937553E-3</v>
      </c>
      <c r="Q95" s="386">
        <f t="shared" si="27"/>
        <v>-4.6793611471915002E-3</v>
      </c>
      <c r="R95" s="386">
        <f t="shared" si="27"/>
        <v>-4.8099653896115343E-3</v>
      </c>
      <c r="S95" s="386">
        <f t="shared" si="27"/>
        <v>-4.9480694692377383E-3</v>
      </c>
      <c r="T95" s="386">
        <f t="shared" si="27"/>
        <v>-5.0943384902198147E-3</v>
      </c>
      <c r="U95" s="386">
        <f t="shared" si="27"/>
        <v>-5.2495185964206983E-3</v>
      </c>
      <c r="V95" s="386">
        <f t="shared" si="27"/>
        <v>-5.4144497020786686E-3</v>
      </c>
      <c r="W95" s="386">
        <f t="shared" si="27"/>
        <v>-5.5900807001715621E-3</v>
      </c>
      <c r="X95" s="386">
        <f t="shared" si="27"/>
        <v>-5.7774877299364971E-3</v>
      </c>
      <c r="Y95" s="386">
        <f t="shared" si="27"/>
        <v>-5.9778962463533812E-3</v>
      </c>
      <c r="Z95" s="386">
        <f t="shared" si="27"/>
        <v>-6.1927078479389504E-3</v>
      </c>
      <c r="AA95" s="386">
        <f t="shared" si="27"/>
        <v>-6.4235331043708526E-3</v>
      </c>
      <c r="AB95" s="386">
        <f t="shared" si="27"/>
        <v>-6.6722320100030125E-3</v>
      </c>
      <c r="AC95" s="386">
        <f t="shared" si="27"/>
        <v>-6.9409642132661487E-3</v>
      </c>
      <c r="AD95" s="386">
        <f t="shared" si="27"/>
        <v>-7.2322518937683548E-3</v>
      </c>
      <c r="AE95" s="386">
        <f t="shared" si="27"/>
        <v>-7.5490591653045907E-3</v>
      </c>
      <c r="AF95" s="386">
        <f t="shared" si="27"/>
        <v>-7.8948933043181731E-3</v>
      </c>
      <c r="AG95" s="386">
        <f t="shared" si="27"/>
        <v>-8.2739351388488973E-3</v>
      </c>
      <c r="AH95" s="386">
        <f t="shared" si="27"/>
        <v>-8.6912088923849305E-3</v>
      </c>
      <c r="AI95" s="386">
        <f t="shared" si="27"/>
        <v>-9.1528061509954083E-3</v>
      </c>
      <c r="AJ95" s="386">
        <f t="shared" si="27"/>
        <v>-9.666185204091118E-3</v>
      </c>
      <c r="AK95" s="386">
        <f t="shared" si="27"/>
        <v>-1.0240577111203859E-2</v>
      </c>
      <c r="AL95" s="386">
        <f t="shared" si="27"/>
        <v>-1.0887545693166047E-2</v>
      </c>
      <c r="AM95" s="386">
        <f t="shared" si="27"/>
        <v>-1.1621774109583717E-2</v>
      </c>
      <c r="AN95" s="386">
        <f t="shared" si="27"/>
        <v>-1.2462192720354866E-2</v>
      </c>
      <c r="AO95" s="386">
        <f t="shared" si="27"/>
        <v>-1.3433634455520403E-2</v>
      </c>
      <c r="AP95" s="386">
        <f t="shared" si="27"/>
        <v>-1.4569329866714211E-2</v>
      </c>
      <c r="AQ95" s="386">
        <f t="shared" si="27"/>
        <v>-1.5914784663176994E-2</v>
      </c>
      <c r="AR95" s="386">
        <f t="shared" si="27"/>
        <v>-1.7534024352450366E-2</v>
      </c>
      <c r="AS95" s="386">
        <f t="shared" si="27"/>
        <v>-1.9520082820036078E-2</v>
      </c>
      <c r="AT95" s="386">
        <f t="shared" si="27"/>
        <v>-2.201352961943033E-2</v>
      </c>
      <c r="AU95" s="386">
        <f t="shared" si="27"/>
        <v>-2.5237276512615536E-2</v>
      </c>
      <c r="AV95" s="386">
        <f t="shared" si="27"/>
        <v>-2.9567214380197191E-2</v>
      </c>
      <c r="AW95" s="386">
        <f t="shared" si="27"/>
        <v>-3.2341626968672238E-2</v>
      </c>
      <c r="AX95" s="386">
        <f t="shared" si="27"/>
        <v>-3.5690624124369928E-2</v>
      </c>
      <c r="AY95" s="386">
        <f t="shared" si="27"/>
        <v>-3.9813320114648817E-2</v>
      </c>
      <c r="AZ95" s="386">
        <f t="shared" si="27"/>
        <v>-4.5012844597191376E-2</v>
      </c>
      <c r="BA95" s="386">
        <f t="shared" si="27"/>
        <v>-5.1774466177197838E-2</v>
      </c>
      <c r="BB95" s="386">
        <f t="shared" si="27"/>
        <v>-6.0926574794477273E-2</v>
      </c>
      <c r="BC95" s="386">
        <f t="shared" si="27"/>
        <v>-7.4009066287679309E-2</v>
      </c>
      <c r="BD95" s="386">
        <f t="shared" si="27"/>
        <v>-9.4246113657392341E-2</v>
      </c>
      <c r="BE95" s="386">
        <f t="shared" si="27"/>
        <v>-0.10917213391638891</v>
      </c>
      <c r="BF95" s="386">
        <f t="shared" si="27"/>
        <v>-0.12971554747957592</v>
      </c>
      <c r="BG95" s="386">
        <f t="shared" si="27"/>
        <v>-0.13478829182009913</v>
      </c>
      <c r="BH95" s="386">
        <f t="shared" si="27"/>
        <v>-0.14027393982607606</v>
      </c>
      <c r="BI95" s="386">
        <f t="shared" si="27"/>
        <v>-0.14622504365194763</v>
      </c>
      <c r="BJ95" s="386">
        <f t="shared" si="27"/>
        <v>-0.15270346863631823</v>
      </c>
      <c r="BK95" s="386">
        <f t="shared" si="27"/>
        <v>-0.15978255202199174</v>
      </c>
      <c r="BL95" s="386">
        <f t="shared" si="27"/>
        <v>-0.16754989131336395</v>
      </c>
      <c r="BM95" s="386">
        <f t="shared" si="27"/>
        <v>-0.17611098747398168</v>
      </c>
      <c r="BN95" s="386">
        <f t="shared" si="27"/>
        <v>-0.18559406517928423</v>
      </c>
      <c r="BO95" s="386">
        <f t="shared" si="26"/>
        <v>-0.19615653904204627</v>
      </c>
      <c r="BP95" s="386"/>
    </row>
    <row r="96" spans="2:68">
      <c r="B96" s="359" t="s">
        <v>115</v>
      </c>
      <c r="C96" s="386">
        <f t="shared" si="27"/>
        <v>-3.6471912717110319E-3</v>
      </c>
      <c r="D96" s="386">
        <f t="shared" si="27"/>
        <v>-3.7175169907543702E-3</v>
      </c>
      <c r="E96" s="386">
        <f t="shared" si="27"/>
        <v>-3.7945346941467037E-3</v>
      </c>
      <c r="F96" s="386">
        <f t="shared" si="27"/>
        <v>-3.8748111410066826E-3</v>
      </c>
      <c r="G96" s="386">
        <f t="shared" si="27"/>
        <v>-3.9585576254846273E-3</v>
      </c>
      <c r="H96" s="386">
        <f t="shared" si="27"/>
        <v>-4.0460041120980346E-3</v>
      </c>
      <c r="I96" s="386">
        <f t="shared" si="27"/>
        <v>-4.1374013445033882E-3</v>
      </c>
      <c r="J96" s="386">
        <f t="shared" si="27"/>
        <v>-4.2330232466903355E-3</v>
      </c>
      <c r="K96" s="386">
        <f t="shared" si="27"/>
        <v>-4.3331696650258482E-3</v>
      </c>
      <c r="L96" s="386">
        <f t="shared" si="27"/>
        <v>-4.4381695089638967E-3</v>
      </c>
      <c r="M96" s="386">
        <f t="shared" si="27"/>
        <v>-4.5483843597221669E-3</v>
      </c>
      <c r="N96" s="386">
        <f t="shared" si="27"/>
        <v>-4.6642126303459317E-3</v>
      </c>
      <c r="O96" s="386">
        <f t="shared" si="27"/>
        <v>-4.7860943780181605E-3</v>
      </c>
      <c r="P96" s="386">
        <f t="shared" si="27"/>
        <v>-4.9145168911252897E-3</v>
      </c>
      <c r="Q96" s="386">
        <f t="shared" si="27"/>
        <v>-5.0500212006109914E-3</v>
      </c>
      <c r="R96" s="386">
        <f t="shared" si="27"/>
        <v>-5.1932096990690083E-3</v>
      </c>
      <c r="S96" s="386">
        <f t="shared" si="27"/>
        <v>-5.3447550938531072E-3</v>
      </c>
      <c r="T96" s="386">
        <f t="shared" si="27"/>
        <v>-5.505410974894989E-3</v>
      </c>
      <c r="U96" s="386">
        <f t="shared" si="27"/>
        <v>-5.6760243475101639E-3</v>
      </c>
      <c r="V96" s="386">
        <f t="shared" si="27"/>
        <v>-5.8575505700908864E-3</v>
      </c>
      <c r="W96" s="386">
        <f t="shared" si="27"/>
        <v>-6.0510712528516657E-3</v>
      </c>
      <c r="X96" s="386">
        <f t="shared" si="27"/>
        <v>-6.2578158258111772E-3</v>
      </c>
      <c r="Y96" s="386">
        <f t="shared" si="27"/>
        <v>-6.4791876846119383E-3</v>
      </c>
      <c r="Z96" s="386">
        <f t="shared" si="27"/>
        <v>-6.7167960893449469E-3</v>
      </c>
      <c r="AA96" s="386">
        <f t="shared" si="27"/>
        <v>-6.9724953494426463E-3</v>
      </c>
      <c r="AB96" s="386">
        <f t="shared" si="27"/>
        <v>-7.2484333130739455E-3</v>
      </c>
      <c r="AC96" s="386">
        <f t="shared" si="27"/>
        <v>-7.5471118448468136E-3</v>
      </c>
      <c r="AD96" s="386">
        <f t="shared" si="27"/>
        <v>-7.8714628983558525E-3</v>
      </c>
      <c r="AE96" s="386">
        <f t="shared" si="27"/>
        <v>-8.2249450857766193E-3</v>
      </c>
      <c r="AF96" s="386">
        <f t="shared" si="27"/>
        <v>-8.6116674906515246E-3</v>
      </c>
      <c r="AG96" s="386">
        <f t="shared" si="27"/>
        <v>-9.0365501327436381E-3</v>
      </c>
      <c r="AH96" s="386">
        <f t="shared" si="27"/>
        <v>-9.5055344002944794E-3</v>
      </c>
      <c r="AI96" s="386">
        <f t="shared" si="27"/>
        <v>-1.0025862596020708E-2</v>
      </c>
      <c r="AJ96" s="386">
        <f t="shared" si="27"/>
        <v>-1.060645461321162E-2</v>
      </c>
      <c r="AK96" s="386">
        <f t="shared" si="27"/>
        <v>-1.1258423535407527E-2</v>
      </c>
      <c r="AL96" s="386">
        <f t="shared" si="27"/>
        <v>-1.199579385124709E-2</v>
      </c>
      <c r="AM96" s="386">
        <f t="shared" si="27"/>
        <v>-1.2836521686782508E-2</v>
      </c>
      <c r="AN96" s="386">
        <f t="shared" si="27"/>
        <v>-1.3803976391069499E-2</v>
      </c>
      <c r="AO96" s="386">
        <f t="shared" si="27"/>
        <v>-1.4929146711289467E-2</v>
      </c>
      <c r="AP96" s="386">
        <f t="shared" si="27"/>
        <v>-1.6254021679159913E-2</v>
      </c>
      <c r="AQ96" s="386">
        <f t="shared" si="27"/>
        <v>-1.7836947017325099E-2</v>
      </c>
      <c r="AR96" s="386">
        <f t="shared" si="27"/>
        <v>-1.9761449094946877E-2</v>
      </c>
      <c r="AS96" s="386">
        <f t="shared" si="27"/>
        <v>-2.2151462068072763E-2</v>
      </c>
      <c r="AT96" s="386">
        <f t="shared" si="27"/>
        <v>-2.519912498696622E-2</v>
      </c>
      <c r="AU96" s="386">
        <f t="shared" si="27"/>
        <v>-2.9219186034071493E-2</v>
      </c>
      <c r="AV96" s="386">
        <f t="shared" si="27"/>
        <v>-3.4765366542201338E-2</v>
      </c>
      <c r="AW96" s="386">
        <f t="shared" si="27"/>
        <v>-3.8410800633461764E-2</v>
      </c>
      <c r="AX96" s="386">
        <f t="shared" si="27"/>
        <v>-4.291029761413704E-2</v>
      </c>
      <c r="AY96" s="386">
        <f t="shared" si="27"/>
        <v>-4.8603819648310585E-2</v>
      </c>
      <c r="AZ96" s="386">
        <f t="shared" si="27"/>
        <v>-5.60393621906266E-2</v>
      </c>
      <c r="BA96" s="386">
        <f t="shared" si="27"/>
        <v>-6.6160821986960688E-2</v>
      </c>
      <c r="BB96" s="386">
        <f t="shared" si="27"/>
        <v>-8.0744330050619165E-2</v>
      </c>
      <c r="BC96" s="386">
        <f t="shared" si="27"/>
        <v>-0.10357482467736415</v>
      </c>
      <c r="BD96" s="386">
        <f t="shared" si="27"/>
        <v>-0.14440555987139023</v>
      </c>
      <c r="BE96" s="386">
        <f t="shared" si="27"/>
        <v>-0.17985664013732289</v>
      </c>
      <c r="BF96" s="386">
        <f t="shared" si="27"/>
        <v>-0.23837752160046563</v>
      </c>
      <c r="BG96" s="386">
        <f t="shared" si="27"/>
        <v>-0.25496968131802039</v>
      </c>
      <c r="BH96" s="386">
        <f t="shared" si="27"/>
        <v>-0.27404441934241974</v>
      </c>
      <c r="BI96" s="386">
        <f t="shared" si="27"/>
        <v>-0.29620396813570676</v>
      </c>
      <c r="BJ96" s="386">
        <f t="shared" si="27"/>
        <v>-0.32226248554629539</v>
      </c>
      <c r="BK96" s="386">
        <f t="shared" si="27"/>
        <v>-0.35334826754946391</v>
      </c>
      <c r="BL96" s="386">
        <f t="shared" si="27"/>
        <v>-0.39107143386936716</v>
      </c>
      <c r="BM96" s="386">
        <f t="shared" si="27"/>
        <v>-0.43781186321211857</v>
      </c>
      <c r="BN96" s="386">
        <f t="shared" si="27"/>
        <v>-0.49724163918020164</v>
      </c>
      <c r="BO96" s="386">
        <f t="shared" si="26"/>
        <v>-0.57533983731035476</v>
      </c>
      <c r="BP96" s="386"/>
    </row>
    <row r="97" spans="2:68">
      <c r="B97" s="359" t="s">
        <v>339</v>
      </c>
      <c r="C97" s="386">
        <f t="shared" si="27"/>
        <v>-1.4468962306714489E-5</v>
      </c>
      <c r="D97" s="386">
        <f t="shared" si="27"/>
        <v>-1.4749464004638691E-5</v>
      </c>
      <c r="E97" s="386">
        <f t="shared" si="27"/>
        <v>-1.5056723258856556E-5</v>
      </c>
      <c r="F97" s="386">
        <f t="shared" si="27"/>
        <v>-1.5377056451705535E-5</v>
      </c>
      <c r="G97" s="386">
        <f t="shared" si="27"/>
        <v>-1.5711316169840725E-5</v>
      </c>
      <c r="H97" s="386">
        <f t="shared" si="27"/>
        <v>-1.6060430779808423E-5</v>
      </c>
      <c r="I97" s="386">
        <f t="shared" si="27"/>
        <v>-1.6425413038747901E-5</v>
      </c>
      <c r="J97" s="386">
        <f t="shared" si="27"/>
        <v>-1.6807369906493677E-5</v>
      </c>
      <c r="K97" s="386">
        <f t="shared" si="27"/>
        <v>-1.7207513759295933E-5</v>
      </c>
      <c r="L97" s="386">
        <f t="shared" si="27"/>
        <v>-1.7627175244440361E-5</v>
      </c>
      <c r="M97" s="386">
        <f t="shared" si="27"/>
        <v>-1.8067818062901001E-5</v>
      </c>
      <c r="N97" s="386">
        <f t="shared" si="27"/>
        <v>-1.8531056026053825E-5</v>
      </c>
      <c r="O97" s="386">
        <f t="shared" si="27"/>
        <v>-1.9018672805320415E-5</v>
      </c>
      <c r="P97" s="386">
        <f t="shared" si="27"/>
        <v>-1.9532644884169335E-5</v>
      </c>
      <c r="Q97" s="386">
        <f t="shared" si="27"/>
        <v>-2.007516833509837E-5</v>
      </c>
      <c r="R97" s="386">
        <f t="shared" si="27"/>
        <v>-2.0648690186521331E-5</v>
      </c>
      <c r="S97" s="386">
        <f t="shared" si="27"/>
        <v>-2.1255945324447555E-5</v>
      </c>
      <c r="T97" s="386">
        <f t="shared" si="27"/>
        <v>-2.1900000102882923E-5</v>
      </c>
      <c r="U97" s="386">
        <f t="shared" si="27"/>
        <v>-2.2584304130333021E-5</v>
      </c>
      <c r="V97" s="386">
        <f t="shared" si="27"/>
        <v>-2.3312752078427485E-5</v>
      </c>
      <c r="W97" s="386">
        <f t="shared" si="27"/>
        <v>-2.4089757850901696E-5</v>
      </c>
      <c r="X97" s="386">
        <f t="shared" si="27"/>
        <v>-2.4920344096128986E-5</v>
      </c>
      <c r="Y97" s="386">
        <f t="shared" si="27"/>
        <v>-2.5810250898636348E-5</v>
      </c>
      <c r="Z97" s="386">
        <f t="shared" si="27"/>
        <v>-2.6766068621321523E-5</v>
      </c>
      <c r="AA97" s="386">
        <f t="shared" si="27"/>
        <v>-2.7795401399653439E-5</v>
      </c>
      <c r="AB97" s="386">
        <f t="shared" si="27"/>
        <v>-2.8907069869272097E-5</v>
      </c>
      <c r="AC97" s="386">
        <f t="shared" si="27"/>
        <v>-3.0111364568480497E-5</v>
      </c>
      <c r="AD97" s="386">
        <f t="shared" si="27"/>
        <v>-3.142036543619642E-5</v>
      </c>
      <c r="AE97" s="386">
        <f t="shared" si="27"/>
        <v>-3.2848348432565598E-5</v>
      </c>
      <c r="AF97" s="386">
        <f t="shared" si="27"/>
        <v>-3.4412308318534015E-5</v>
      </c>
      <c r="AG97" s="386">
        <f t="shared" si="27"/>
        <v>-3.6132638243269561E-5</v>
      </c>
      <c r="AH97" s="386">
        <f t="shared" si="27"/>
        <v>-3.8034023900655525E-5</v>
      </c>
      <c r="AI97" s="386">
        <f t="shared" si="27"/>
        <v>-4.0146635683001007E-5</v>
      </c>
      <c r="AJ97" s="386">
        <f t="shared" si="27"/>
        <v>-4.2507741512752247E-5</v>
      </c>
      <c r="AK97" s="386">
        <f t="shared" si="27"/>
        <v>-4.5163924360660282E-5</v>
      </c>
      <c r="AL97" s="386">
        <f t="shared" si="27"/>
        <v>-4.817418657499191E-5</v>
      </c>
      <c r="AM97" s="386">
        <f t="shared" si="27"/>
        <v>-5.1614384322211619E-5</v>
      </c>
      <c r="AN97" s="386">
        <f t="shared" si="27"/>
        <v>-5.5583708170192917E-5</v>
      </c>
      <c r="AO97" s="386">
        <f t="shared" si="27"/>
        <v>-6.0214403067064971E-5</v>
      </c>
      <c r="AP97" s="386">
        <f t="shared" si="27"/>
        <v>-6.568678852747218E-5</v>
      </c>
      <c r="AQ97" s="386">
        <f t="shared" si="27"/>
        <v>-7.2253287940436103E-5</v>
      </c>
      <c r="AR97" s="386">
        <f t="shared" si="27"/>
        <v>-8.0278471510270098E-5</v>
      </c>
      <c r="AS97" s="386">
        <f t="shared" si="27"/>
        <v>-9.0309118948628717E-5</v>
      </c>
      <c r="AT97" s="386">
        <f t="shared" si="27"/>
        <v>-1.0320430744180068E-4</v>
      </c>
      <c r="AU97" s="386">
        <f t="shared" si="27"/>
        <v>-1.2039551566413799E-4</v>
      </c>
      <c r="AV97" s="386">
        <f t="shared" si="27"/>
        <v>-1.4445864555481756E-4</v>
      </c>
      <c r="AW97" s="386">
        <f t="shared" si="27"/>
        <v>-1.6049777632090465E-4</v>
      </c>
      <c r="AX97" s="386">
        <f t="shared" si="27"/>
        <v>-1.8054336539132125E-4</v>
      </c>
      <c r="AY97" s="386">
        <f t="shared" si="27"/>
        <v>-2.0631083959640474E-4</v>
      </c>
      <c r="AZ97" s="386">
        <f t="shared" si="27"/>
        <v>-2.4065797981821487E-4</v>
      </c>
      <c r="BA97" s="386">
        <f t="shared" si="27"/>
        <v>-2.8872576045084751E-4</v>
      </c>
      <c r="BB97" s="386">
        <f t="shared" si="27"/>
        <v>-3.6078761289728468E-4</v>
      </c>
      <c r="BC97" s="386">
        <f t="shared" si="27"/>
        <v>-4.8078463484972362E-4</v>
      </c>
      <c r="BD97" s="386">
        <f t="shared" si="27"/>
        <v>-7.2038172274287756E-4</v>
      </c>
      <c r="BE97" s="386">
        <f t="shared" si="27"/>
        <v>-9.5945099340206009E-4</v>
      </c>
      <c r="BF97" s="386">
        <f t="shared" si="27"/>
        <v>-1.4360130441714695E-3</v>
      </c>
      <c r="BG97" s="386">
        <f t="shared" si="27"/>
        <v>-1.5944018337773304E-3</v>
      </c>
      <c r="BH97" s="386">
        <f t="shared" si="27"/>
        <v>-1.7920619640502851E-3</v>
      </c>
      <c r="BI97" s="386">
        <f t="shared" si="27"/>
        <v>-2.0456659055540778E-3</v>
      </c>
      <c r="BJ97" s="386">
        <f t="shared" si="27"/>
        <v>-2.3828794850248563E-3</v>
      </c>
      <c r="BK97" s="386">
        <f t="shared" si="27"/>
        <v>-2.8532112047484968E-3</v>
      </c>
      <c r="BL97" s="386">
        <f t="shared" si="27"/>
        <v>-3.5548698806838162E-3</v>
      </c>
      <c r="BM97" s="386">
        <f t="shared" si="27"/>
        <v>-4.7141747362238647E-3</v>
      </c>
      <c r="BN97" s="386">
        <f t="shared" ref="BN97:CT97" si="28">$E25*($C25-1)/(1+BN$83*($C25-1))</f>
        <v>-6.9955428494694934E-3</v>
      </c>
      <c r="BO97" s="386">
        <f t="shared" si="28"/>
        <v>-1.3555623803245532E-2</v>
      </c>
      <c r="BP97" s="386"/>
    </row>
    <row r="98" spans="2:68">
      <c r="B98" s="359" t="s">
        <v>340</v>
      </c>
      <c r="C98" s="386">
        <f>SUM(C86:C97)</f>
        <v>4.3004191265887703</v>
      </c>
      <c r="D98" s="386">
        <f t="shared" ref="D98:AE98" si="29">SUM(D86:D97)</f>
        <v>3.8573707092757714</v>
      </c>
      <c r="E98" s="386">
        <f t="shared" si="29"/>
        <v>3.482906005463891</v>
      </c>
      <c r="F98" s="386">
        <f t="shared" si="29"/>
        <v>3.175331907722958</v>
      </c>
      <c r="G98" s="386">
        <f t="shared" si="29"/>
        <v>2.9174144665113233</v>
      </c>
      <c r="H98" s="386">
        <f t="shared" si="29"/>
        <v>2.6976421291250889</v>
      </c>
      <c r="I98" s="386">
        <f t="shared" si="29"/>
        <v>2.5079145494781692</v>
      </c>
      <c r="J98" s="386">
        <f t="shared" si="29"/>
        <v>2.3423204288716208</v>
      </c>
      <c r="K98" s="386">
        <f t="shared" si="29"/>
        <v>2.1964250888799817</v>
      </c>
      <c r="L98" s="386">
        <f t="shared" si="29"/>
        <v>2.0668271174228288</v>
      </c>
      <c r="M98" s="386">
        <f t="shared" si="29"/>
        <v>1.9508691242294551</v>
      </c>
      <c r="N98" s="386">
        <f t="shared" si="29"/>
        <v>1.8464420888371329</v>
      </c>
      <c r="O98" s="386">
        <f t="shared" si="29"/>
        <v>1.751849125433163</v>
      </c>
      <c r="P98" s="386">
        <f t="shared" si="29"/>
        <v>1.6657083127738663</v>
      </c>
      <c r="Q98" s="386">
        <f t="shared" si="29"/>
        <v>1.5868819544556714</v>
      </c>
      <c r="R98" s="386">
        <f t="shared" si="29"/>
        <v>1.5144241562920029</v>
      </c>
      <c r="S98" s="386">
        <f t="shared" si="29"/>
        <v>1.447541362121785</v>
      </c>
      <c r="T98" s="386">
        <f t="shared" si="29"/>
        <v>1.385562222564253</v>
      </c>
      <c r="U98" s="386">
        <f t="shared" si="29"/>
        <v>1.327914291918127</v>
      </c>
      <c r="V98" s="386">
        <f t="shared" si="29"/>
        <v>1.2741057902185133</v>
      </c>
      <c r="W98" s="386">
        <f t="shared" si="29"/>
        <v>1.2237111685940372</v>
      </c>
      <c r="X98" s="386">
        <f t="shared" si="29"/>
        <v>1.176359560670744</v>
      </c>
      <c r="Y98" s="386">
        <f t="shared" si="29"/>
        <v>1.131725443419948</v>
      </c>
      <c r="Z98" s="386">
        <f t="shared" si="29"/>
        <v>1.0895210011079557</v>
      </c>
      <c r="AA98" s="386">
        <f t="shared" si="29"/>
        <v>1.0494898077046384</v>
      </c>
      <c r="AB98" s="386">
        <f t="shared" si="29"/>
        <v>1.0114015306526956</v>
      </c>
      <c r="AC98" s="386">
        <f t="shared" si="29"/>
        <v>0.97504742188965543</v>
      </c>
      <c r="AD98" s="386">
        <f t="shared" si="29"/>
        <v>0.94023640684668619</v>
      </c>
      <c r="AE98" s="386">
        <f t="shared" si="29"/>
        <v>0.90679161300185007</v>
      </c>
      <c r="AF98" s="386">
        <f>SUM(AF86:AF97)</f>
        <v>0.87454719899069377</v>
      </c>
      <c r="AG98" s="386">
        <f>SUM(AG86:AG97)</f>
        <v>0.84334535450198767</v>
      </c>
      <c r="AH98" s="386">
        <f>SUM(AH86:AH97)</f>
        <v>0.81303334019303719</v>
      </c>
      <c r="AI98" s="386">
        <f t="shared" ref="AI98:BO98" si="30">SUM(AI86:AI97)</f>
        <v>0.78346042422204287</v>
      </c>
      <c r="AJ98" s="386">
        <f t="shared" si="30"/>
        <v>0.75447454440658557</v>
      </c>
      <c r="AK98" s="386">
        <f t="shared" si="30"/>
        <v>0.72591847631666984</v>
      </c>
      <c r="AL98" s="386">
        <f t="shared" si="30"/>
        <v>0.69762520694499763</v>
      </c>
      <c r="AM98" s="386">
        <f t="shared" si="30"/>
        <v>0.66941208195370705</v>
      </c>
      <c r="AN98" s="386">
        <f t="shared" si="30"/>
        <v>0.64107307803317515</v>
      </c>
      <c r="AO98" s="386">
        <f t="shared" si="30"/>
        <v>0.61236818870375986</v>
      </c>
      <c r="AP98" s="386">
        <f t="shared" si="30"/>
        <v>0.58300828455334097</v>
      </c>
      <c r="AQ98" s="386">
        <f t="shared" si="30"/>
        <v>0.55263268519088282</v>
      </c>
      <c r="AR98" s="386">
        <f t="shared" si="30"/>
        <v>0.52077457702514851</v>
      </c>
      <c r="AS98" s="386">
        <f t="shared" si="30"/>
        <v>0.48680526221155052</v>
      </c>
      <c r="AT98" s="386">
        <f t="shared" si="30"/>
        <v>0.44983950447389653</v>
      </c>
      <c r="AU98" s="386">
        <f t="shared" si="30"/>
        <v>0.40856442820540728</v>
      </c>
      <c r="AV98" s="386">
        <f t="shared" si="30"/>
        <v>0.36090479339445936</v>
      </c>
      <c r="AW98" s="386">
        <f t="shared" si="30"/>
        <v>0.33366111659433267</v>
      </c>
      <c r="AX98" s="386">
        <f t="shared" si="30"/>
        <v>0.30329615893359785</v>
      </c>
      <c r="AY98" s="386">
        <f t="shared" si="30"/>
        <v>0.26884177481634192</v>
      </c>
      <c r="AZ98" s="386">
        <f t="shared" si="30"/>
        <v>0.22885799319505079</v>
      </c>
      <c r="BA98" s="386">
        <f t="shared" si="30"/>
        <v>0.18107756838297775</v>
      </c>
      <c r="BB98" s="386">
        <f t="shared" si="30"/>
        <v>0.12164644961741945</v>
      </c>
      <c r="BC98" s="386">
        <f t="shared" si="30"/>
        <v>4.3257350392843688E-2</v>
      </c>
      <c r="BD98" s="386">
        <f t="shared" si="30"/>
        <v>-7.0506304255915669E-2</v>
      </c>
      <c r="BE98" s="386">
        <f t="shared" si="30"/>
        <v>-0.15296392417097032</v>
      </c>
      <c r="BF98" s="386">
        <f t="shared" si="30"/>
        <v>-0.2697923583731468</v>
      </c>
      <c r="BG98" s="386">
        <f t="shared" si="30"/>
        <v>-0.2999027040788807</v>
      </c>
      <c r="BH98" s="386">
        <f t="shared" si="30"/>
        <v>-0.33327447162001905</v>
      </c>
      <c r="BI98" s="386">
        <f t="shared" si="30"/>
        <v>-0.3706057909218593</v>
      </c>
      <c r="BJ98" s="386">
        <f t="shared" si="30"/>
        <v>-0.41283038696341257</v>
      </c>
      <c r="BK98" s="386">
        <f t="shared" si="30"/>
        <v>-0.46123338381216489</v>
      </c>
      <c r="BL98" s="386">
        <f t="shared" si="30"/>
        <v>-0.51764934913838112</v>
      </c>
      <c r="BM98" s="386">
        <f t="shared" si="30"/>
        <v>-0.58483416067750893</v>
      </c>
      <c r="BN98" s="386">
        <f t="shared" si="30"/>
        <v>-0.66730334978822425</v>
      </c>
      <c r="BO98" s="386">
        <f t="shared" si="30"/>
        <v>-0.77440885428758555</v>
      </c>
      <c r="BP98" s="386"/>
    </row>
    <row r="99" spans="2:68">
      <c r="B99" s="359" t="s">
        <v>340</v>
      </c>
      <c r="C99" s="386">
        <f>IF(C98&gt;0,C98,1)</f>
        <v>4.3004191265887703</v>
      </c>
      <c r="D99" s="386">
        <f t="shared" ref="D99:BO99" si="31">IF(D98&gt;0,D98,1)</f>
        <v>3.8573707092757714</v>
      </c>
      <c r="E99" s="386">
        <f t="shared" si="31"/>
        <v>3.482906005463891</v>
      </c>
      <c r="F99" s="386">
        <f t="shared" si="31"/>
        <v>3.175331907722958</v>
      </c>
      <c r="G99" s="386">
        <f t="shared" si="31"/>
        <v>2.9174144665113233</v>
      </c>
      <c r="H99" s="386">
        <f t="shared" si="31"/>
        <v>2.6976421291250889</v>
      </c>
      <c r="I99" s="386">
        <f t="shared" si="31"/>
        <v>2.5079145494781692</v>
      </c>
      <c r="J99" s="386">
        <f t="shared" si="31"/>
        <v>2.3423204288716208</v>
      </c>
      <c r="K99" s="386">
        <f t="shared" si="31"/>
        <v>2.1964250888799817</v>
      </c>
      <c r="L99" s="386">
        <f t="shared" si="31"/>
        <v>2.0668271174228288</v>
      </c>
      <c r="M99" s="386">
        <f t="shared" si="31"/>
        <v>1.9508691242294551</v>
      </c>
      <c r="N99" s="386">
        <f t="shared" si="31"/>
        <v>1.8464420888371329</v>
      </c>
      <c r="O99" s="386">
        <f t="shared" si="31"/>
        <v>1.751849125433163</v>
      </c>
      <c r="P99" s="386">
        <f t="shared" si="31"/>
        <v>1.6657083127738663</v>
      </c>
      <c r="Q99" s="386">
        <f t="shared" si="31"/>
        <v>1.5868819544556714</v>
      </c>
      <c r="R99" s="386">
        <f t="shared" si="31"/>
        <v>1.5144241562920029</v>
      </c>
      <c r="S99" s="386">
        <f t="shared" si="31"/>
        <v>1.447541362121785</v>
      </c>
      <c r="T99" s="386">
        <f t="shared" si="31"/>
        <v>1.385562222564253</v>
      </c>
      <c r="U99" s="386">
        <f t="shared" si="31"/>
        <v>1.327914291918127</v>
      </c>
      <c r="V99" s="386">
        <f t="shared" si="31"/>
        <v>1.2741057902185133</v>
      </c>
      <c r="W99" s="386">
        <f t="shared" si="31"/>
        <v>1.2237111685940372</v>
      </c>
      <c r="X99" s="386">
        <f t="shared" si="31"/>
        <v>1.176359560670744</v>
      </c>
      <c r="Y99" s="386">
        <f t="shared" si="31"/>
        <v>1.131725443419948</v>
      </c>
      <c r="Z99" s="386">
        <f t="shared" si="31"/>
        <v>1.0895210011079557</v>
      </c>
      <c r="AA99" s="386">
        <f t="shared" si="31"/>
        <v>1.0494898077046384</v>
      </c>
      <c r="AB99" s="386">
        <f t="shared" si="31"/>
        <v>1.0114015306526956</v>
      </c>
      <c r="AC99" s="386">
        <f t="shared" si="31"/>
        <v>0.97504742188965543</v>
      </c>
      <c r="AD99" s="386">
        <f t="shared" si="31"/>
        <v>0.94023640684668619</v>
      </c>
      <c r="AE99" s="386">
        <f t="shared" si="31"/>
        <v>0.90679161300185007</v>
      </c>
      <c r="AF99" s="386">
        <f t="shared" si="31"/>
        <v>0.87454719899069377</v>
      </c>
      <c r="AG99" s="386">
        <f t="shared" si="31"/>
        <v>0.84334535450198767</v>
      </c>
      <c r="AH99" s="386">
        <f t="shared" si="31"/>
        <v>0.81303334019303719</v>
      </c>
      <c r="AI99" s="386">
        <f t="shared" si="31"/>
        <v>0.78346042422204287</v>
      </c>
      <c r="AJ99" s="386">
        <f t="shared" si="31"/>
        <v>0.75447454440658557</v>
      </c>
      <c r="AK99" s="386">
        <f t="shared" si="31"/>
        <v>0.72591847631666984</v>
      </c>
      <c r="AL99" s="386">
        <f t="shared" si="31"/>
        <v>0.69762520694499763</v>
      </c>
      <c r="AM99" s="386">
        <f t="shared" si="31"/>
        <v>0.66941208195370705</v>
      </c>
      <c r="AN99" s="386">
        <f t="shared" si="31"/>
        <v>0.64107307803317515</v>
      </c>
      <c r="AO99" s="386">
        <f t="shared" si="31"/>
        <v>0.61236818870375986</v>
      </c>
      <c r="AP99" s="386">
        <f t="shared" si="31"/>
        <v>0.58300828455334097</v>
      </c>
      <c r="AQ99" s="386">
        <f t="shared" si="31"/>
        <v>0.55263268519088282</v>
      </c>
      <c r="AR99" s="386">
        <f t="shared" si="31"/>
        <v>0.52077457702514851</v>
      </c>
      <c r="AS99" s="386">
        <f t="shared" si="31"/>
        <v>0.48680526221155052</v>
      </c>
      <c r="AT99" s="386">
        <f t="shared" si="31"/>
        <v>0.44983950447389653</v>
      </c>
      <c r="AU99" s="386">
        <f t="shared" si="31"/>
        <v>0.40856442820540728</v>
      </c>
      <c r="AV99" s="386">
        <f t="shared" si="31"/>
        <v>0.36090479339445936</v>
      </c>
      <c r="AW99" s="386">
        <f t="shared" si="31"/>
        <v>0.33366111659433267</v>
      </c>
      <c r="AX99" s="386">
        <f t="shared" si="31"/>
        <v>0.30329615893359785</v>
      </c>
      <c r="AY99" s="386">
        <f t="shared" si="31"/>
        <v>0.26884177481634192</v>
      </c>
      <c r="AZ99" s="386">
        <f t="shared" si="31"/>
        <v>0.22885799319505079</v>
      </c>
      <c r="BA99" s="386">
        <f t="shared" si="31"/>
        <v>0.18107756838297775</v>
      </c>
      <c r="BB99" s="386">
        <f t="shared" si="31"/>
        <v>0.12164644961741945</v>
      </c>
      <c r="BC99" s="386">
        <f t="shared" si="31"/>
        <v>4.3257350392843688E-2</v>
      </c>
      <c r="BD99" s="386">
        <f t="shared" si="31"/>
        <v>1</v>
      </c>
      <c r="BE99" s="386">
        <f t="shared" si="31"/>
        <v>1</v>
      </c>
      <c r="BF99" s="386">
        <f t="shared" si="31"/>
        <v>1</v>
      </c>
      <c r="BG99" s="386">
        <f t="shared" si="31"/>
        <v>1</v>
      </c>
      <c r="BH99" s="386">
        <f t="shared" si="31"/>
        <v>1</v>
      </c>
      <c r="BI99" s="386">
        <f t="shared" si="31"/>
        <v>1</v>
      </c>
      <c r="BJ99" s="386">
        <f t="shared" si="31"/>
        <v>1</v>
      </c>
      <c r="BK99" s="386">
        <f t="shared" si="31"/>
        <v>1</v>
      </c>
      <c r="BL99" s="386">
        <f t="shared" si="31"/>
        <v>1</v>
      </c>
      <c r="BM99" s="386">
        <f t="shared" si="31"/>
        <v>1</v>
      </c>
      <c r="BN99" s="386">
        <f t="shared" si="31"/>
        <v>1</v>
      </c>
      <c r="BO99" s="386">
        <f t="shared" si="31"/>
        <v>1</v>
      </c>
      <c r="BP99" s="386">
        <f>MIN(C99:BO99)</f>
        <v>4.3257350392843688E-2</v>
      </c>
    </row>
    <row r="100" spans="2:68">
      <c r="D100"/>
      <c r="E100"/>
      <c r="F100"/>
      <c r="G100"/>
      <c r="H100"/>
      <c r="I100"/>
      <c r="J100"/>
    </row>
    <row r="101" spans="2:68">
      <c r="D101"/>
      <c r="E101"/>
      <c r="F101"/>
      <c r="G101"/>
      <c r="H101"/>
      <c r="I101"/>
      <c r="J101"/>
    </row>
    <row r="103" spans="2:68">
      <c r="B103" s="186" t="s">
        <v>600</v>
      </c>
    </row>
    <row r="104" spans="2:68">
      <c r="B104" s="264" t="s">
        <v>503</v>
      </c>
    </row>
    <row r="105" spans="2:68">
      <c r="B105" t="s">
        <v>504</v>
      </c>
    </row>
    <row r="106" spans="2:68">
      <c r="B106" t="s">
        <v>505</v>
      </c>
    </row>
    <row r="107" spans="2:68">
      <c r="B107" t="s">
        <v>506</v>
      </c>
    </row>
    <row r="108" spans="2:68">
      <c r="B108" t="s">
        <v>507</v>
      </c>
    </row>
    <row r="109" spans="2:68">
      <c r="B109" t="s">
        <v>555</v>
      </c>
    </row>
    <row r="110" spans="2:68">
      <c r="B110" t="s">
        <v>508</v>
      </c>
    </row>
    <row r="111" spans="2:68">
      <c r="B111" t="s">
        <v>509</v>
      </c>
    </row>
    <row r="112" spans="2:68">
      <c r="B112" t="s">
        <v>510</v>
      </c>
    </row>
    <row r="113" spans="1:15">
      <c r="B113" t="s">
        <v>556</v>
      </c>
    </row>
    <row r="114" spans="1:15">
      <c r="B114" t="s">
        <v>596</v>
      </c>
    </row>
    <row r="115" spans="1:15" s="32" customFormat="1">
      <c r="A115"/>
      <c r="B115" t="s">
        <v>511</v>
      </c>
      <c r="K115"/>
      <c r="L115"/>
      <c r="M115"/>
      <c r="N115"/>
      <c r="O115"/>
    </row>
    <row r="116" spans="1:15" s="32" customFormat="1">
      <c r="A116"/>
      <c r="B116" t="s">
        <v>557</v>
      </c>
      <c r="K116"/>
      <c r="L116"/>
      <c r="M116"/>
      <c r="N116"/>
      <c r="O116"/>
    </row>
    <row r="117" spans="1:15" s="32" customFormat="1">
      <c r="A117"/>
      <c r="B117" t="s">
        <v>512</v>
      </c>
      <c r="K117"/>
      <c r="L117"/>
      <c r="M117"/>
      <c r="N117"/>
      <c r="O117"/>
    </row>
    <row r="118" spans="1:15" s="32" customFormat="1">
      <c r="A118"/>
      <c r="B118" t="s">
        <v>513</v>
      </c>
      <c r="K118"/>
      <c r="L118"/>
      <c r="M118"/>
      <c r="N118"/>
      <c r="O118"/>
    </row>
    <row r="119" spans="1:15" s="32" customFormat="1">
      <c r="A119"/>
      <c r="B119" t="s">
        <v>514</v>
      </c>
      <c r="K119"/>
      <c r="L119"/>
      <c r="M119"/>
      <c r="N119"/>
      <c r="O119"/>
    </row>
    <row r="120" spans="1:15" s="32" customFormat="1">
      <c r="A120"/>
      <c r="B120" t="s">
        <v>241</v>
      </c>
      <c r="C120" s="32" t="s">
        <v>558</v>
      </c>
      <c r="D120" s="32" t="s">
        <v>559</v>
      </c>
      <c r="K120"/>
      <c r="L120"/>
      <c r="M120"/>
      <c r="N120"/>
      <c r="O120"/>
    </row>
    <row r="121" spans="1:15" s="32" customFormat="1">
      <c r="A121"/>
      <c r="B121" t="s">
        <v>4</v>
      </c>
      <c r="C121" s="32">
        <v>470</v>
      </c>
      <c r="D121" s="32">
        <v>109</v>
      </c>
      <c r="K121"/>
      <c r="L121"/>
      <c r="M121"/>
      <c r="N121"/>
      <c r="O121"/>
    </row>
    <row r="122" spans="1:15" s="32" customFormat="1">
      <c r="A122"/>
      <c r="B122" t="s">
        <v>70</v>
      </c>
      <c r="C122" s="32">
        <v>652</v>
      </c>
      <c r="D122" s="32">
        <v>194</v>
      </c>
      <c r="K122"/>
      <c r="L122"/>
      <c r="M122"/>
      <c r="N122"/>
      <c r="O122"/>
    </row>
    <row r="123" spans="1:15" s="32" customFormat="1">
      <c r="A123"/>
      <c r="B123" t="s">
        <v>2</v>
      </c>
      <c r="C123" s="32">
        <v>1136</v>
      </c>
      <c r="D123" s="32">
        <v>331</v>
      </c>
      <c r="K123"/>
      <c r="L123"/>
      <c r="M123"/>
      <c r="N123"/>
      <c r="O123"/>
    </row>
    <row r="124" spans="1:15" s="32" customFormat="1">
      <c r="A124"/>
      <c r="B124" t="s">
        <v>5</v>
      </c>
      <c r="C124" s="32">
        <v>300</v>
      </c>
      <c r="D124" s="32">
        <v>94</v>
      </c>
      <c r="K124"/>
      <c r="L124"/>
      <c r="M124"/>
      <c r="N124"/>
      <c r="O124"/>
    </row>
    <row r="125" spans="1:15" s="32" customFormat="1">
      <c r="A125"/>
      <c r="B125" t="s">
        <v>6</v>
      </c>
      <c r="C125" s="32">
        <v>1145</v>
      </c>
      <c r="D125" s="32">
        <v>303</v>
      </c>
      <c r="K125"/>
      <c r="L125"/>
      <c r="M125"/>
      <c r="N125"/>
      <c r="O125"/>
    </row>
    <row r="126" spans="1:15" s="32" customFormat="1">
      <c r="A126"/>
      <c r="B126" t="s">
        <v>7</v>
      </c>
      <c r="C126" s="32">
        <v>1799</v>
      </c>
      <c r="D126" s="32">
        <v>416</v>
      </c>
      <c r="K126"/>
      <c r="L126"/>
      <c r="M126"/>
      <c r="N126"/>
      <c r="O126"/>
    </row>
    <row r="127" spans="1:15" s="32" customFormat="1">
      <c r="A127"/>
      <c r="B127" t="s">
        <v>560</v>
      </c>
      <c r="C127" s="32">
        <v>2037</v>
      </c>
      <c r="D127" s="32">
        <v>471</v>
      </c>
      <c r="K127"/>
      <c r="L127"/>
      <c r="M127"/>
      <c r="N127"/>
      <c r="O127"/>
    </row>
    <row r="128" spans="1:15" s="32" customFormat="1">
      <c r="A128"/>
      <c r="B128" t="s">
        <v>561</v>
      </c>
      <c r="C128" s="32">
        <v>2153</v>
      </c>
      <c r="D128" s="32">
        <v>491</v>
      </c>
      <c r="K128"/>
      <c r="L128"/>
      <c r="M128"/>
      <c r="N128"/>
      <c r="O128"/>
    </row>
    <row r="129" spans="1:15" s="32" customFormat="1">
      <c r="A129"/>
      <c r="B129" t="s">
        <v>562</v>
      </c>
      <c r="C129" s="32">
        <v>2368</v>
      </c>
      <c r="D129" s="32">
        <v>542</v>
      </c>
      <c r="K129"/>
      <c r="L129"/>
      <c r="M129"/>
      <c r="N129"/>
      <c r="O129"/>
    </row>
    <row r="130" spans="1:15" s="32" customFormat="1">
      <c r="A130"/>
      <c r="B130" t="s">
        <v>563</v>
      </c>
      <c r="C130" s="32">
        <v>2480</v>
      </c>
      <c r="D130" s="32">
        <v>557</v>
      </c>
      <c r="K130"/>
      <c r="L130"/>
      <c r="M130"/>
      <c r="N130"/>
      <c r="O130"/>
    </row>
    <row r="131" spans="1:15" s="32" customFormat="1">
      <c r="A131"/>
      <c r="B131" t="s">
        <v>564</v>
      </c>
      <c r="C131" s="32">
        <v>2738</v>
      </c>
      <c r="D131" s="32">
        <v>610</v>
      </c>
      <c r="K131"/>
      <c r="L131"/>
      <c r="M131"/>
      <c r="N131"/>
      <c r="O131"/>
    </row>
    <row r="132" spans="1:15" s="32" customFormat="1">
      <c r="A132"/>
      <c r="B132" t="s">
        <v>565</v>
      </c>
      <c r="C132" s="32">
        <v>2780</v>
      </c>
      <c r="D132" s="32">
        <v>616</v>
      </c>
      <c r="K132"/>
      <c r="L132"/>
      <c r="M132"/>
      <c r="N132"/>
      <c r="O132"/>
    </row>
    <row r="133" spans="1:15" s="32" customFormat="1">
      <c r="A133"/>
      <c r="B133" t="s">
        <v>566</v>
      </c>
      <c r="C133" s="32">
        <v>3068</v>
      </c>
      <c r="D133" s="32">
        <v>669</v>
      </c>
      <c r="K133"/>
      <c r="L133"/>
      <c r="M133"/>
      <c r="N133"/>
      <c r="O133"/>
    </row>
    <row r="134" spans="1:15" s="32" customFormat="1">
      <c r="A134"/>
      <c r="B134" t="s">
        <v>567</v>
      </c>
      <c r="C134" s="32">
        <v>3335</v>
      </c>
      <c r="D134" s="32">
        <v>718</v>
      </c>
      <c r="K134"/>
      <c r="L134"/>
      <c r="M134"/>
      <c r="N134"/>
      <c r="O134"/>
    </row>
    <row r="135" spans="1:15" s="32" customFormat="1">
      <c r="A135"/>
      <c r="B135" t="s">
        <v>568</v>
      </c>
      <c r="C135" s="32">
        <v>3590</v>
      </c>
      <c r="D135" s="32">
        <v>763</v>
      </c>
      <c r="K135"/>
      <c r="L135"/>
      <c r="M135"/>
      <c r="N135"/>
      <c r="O135"/>
    </row>
    <row r="136" spans="1:15" s="32" customFormat="1">
      <c r="A136"/>
      <c r="B136" t="s">
        <v>569</v>
      </c>
      <c r="C136" s="32">
        <v>3828</v>
      </c>
      <c r="D136" s="32">
        <v>805</v>
      </c>
      <c r="K136"/>
      <c r="L136"/>
      <c r="M136"/>
      <c r="N136"/>
      <c r="O136"/>
    </row>
    <row r="137" spans="1:15" s="32" customFormat="1">
      <c r="A137"/>
      <c r="B137" t="s">
        <v>515</v>
      </c>
      <c r="K137"/>
      <c r="L137"/>
      <c r="M137"/>
      <c r="N137"/>
      <c r="O137"/>
    </row>
    <row r="138" spans="1:15" s="32" customFormat="1">
      <c r="A138"/>
      <c r="B138" t="s">
        <v>516</v>
      </c>
      <c r="K138"/>
      <c r="L138"/>
      <c r="M138"/>
      <c r="N138"/>
      <c r="O138"/>
    </row>
    <row r="139" spans="1:15" s="32" customFormat="1">
      <c r="A139"/>
      <c r="B139" t="s">
        <v>570</v>
      </c>
      <c r="K139"/>
      <c r="L139"/>
      <c r="M139"/>
      <c r="N139"/>
      <c r="O139"/>
    </row>
    <row r="140" spans="1:15" s="32" customFormat="1">
      <c r="A140"/>
      <c r="B140" t="s">
        <v>517</v>
      </c>
      <c r="K140"/>
      <c r="L140"/>
      <c r="M140"/>
      <c r="N140"/>
      <c r="O140"/>
    </row>
    <row r="141" spans="1:15" s="32" customFormat="1">
      <c r="A141"/>
      <c r="B141" t="s">
        <v>571</v>
      </c>
      <c r="K141"/>
      <c r="L141"/>
      <c r="M141"/>
      <c r="N141"/>
      <c r="O141"/>
    </row>
    <row r="142" spans="1:15" s="32" customFormat="1">
      <c r="A142"/>
      <c r="B142" t="s">
        <v>572</v>
      </c>
      <c r="K142"/>
      <c r="L142"/>
      <c r="M142"/>
      <c r="N142"/>
      <c r="O142"/>
    </row>
    <row r="143" spans="1:15" s="32" customFormat="1">
      <c r="A143"/>
      <c r="B143" t="s">
        <v>518</v>
      </c>
      <c r="K143"/>
      <c r="L143"/>
      <c r="M143"/>
      <c r="N143"/>
      <c r="O143"/>
    </row>
    <row r="144" spans="1:15" s="32" customFormat="1">
      <c r="A144"/>
      <c r="B144" t="s">
        <v>573</v>
      </c>
      <c r="K144"/>
      <c r="L144"/>
      <c r="M144"/>
      <c r="N144"/>
      <c r="O144"/>
    </row>
    <row r="145" spans="1:15" s="32" customFormat="1">
      <c r="A145"/>
      <c r="B145" t="s">
        <v>519</v>
      </c>
      <c r="K145"/>
      <c r="L145"/>
      <c r="M145"/>
      <c r="N145"/>
      <c r="O145"/>
    </row>
    <row r="147" spans="1:15" s="32" customFormat="1">
      <c r="A147"/>
      <c r="B147" t="s">
        <v>520</v>
      </c>
      <c r="K147"/>
      <c r="L147"/>
      <c r="M147"/>
      <c r="N147"/>
      <c r="O147"/>
    </row>
    <row r="148" spans="1:15" s="32" customFormat="1">
      <c r="A148"/>
      <c r="B148" t="s">
        <v>574</v>
      </c>
      <c r="K148"/>
      <c r="L148"/>
      <c r="M148"/>
      <c r="N148"/>
      <c r="O148"/>
    </row>
    <row r="149" spans="1:15" s="32" customFormat="1">
      <c r="A149"/>
      <c r="B149" t="s">
        <v>521</v>
      </c>
      <c r="K149"/>
      <c r="L149"/>
      <c r="M149"/>
      <c r="N149"/>
      <c r="O149"/>
    </row>
    <row r="150" spans="1:15" s="32" customFormat="1">
      <c r="A150"/>
      <c r="B150" t="s">
        <v>522</v>
      </c>
      <c r="K150"/>
      <c r="L150"/>
      <c r="M150"/>
      <c r="N150"/>
      <c r="O150"/>
    </row>
    <row r="152" spans="1:15" s="32" customFormat="1">
      <c r="A152"/>
      <c r="B152" t="s">
        <v>523</v>
      </c>
      <c r="K152"/>
      <c r="L152"/>
      <c r="M152"/>
      <c r="N152"/>
      <c r="O152"/>
    </row>
    <row r="153" spans="1:15" s="32" customFormat="1">
      <c r="A153"/>
      <c r="B153" t="s">
        <v>524</v>
      </c>
      <c r="K153"/>
      <c r="L153"/>
      <c r="M153"/>
      <c r="N153"/>
      <c r="O153"/>
    </row>
    <row r="154" spans="1:15" s="32" customFormat="1">
      <c r="A154"/>
      <c r="B154" t="s">
        <v>575</v>
      </c>
      <c r="K154"/>
      <c r="L154"/>
      <c r="M154"/>
      <c r="N154"/>
      <c r="O154"/>
    </row>
    <row r="155" spans="1:15" s="32" customFormat="1">
      <c r="A155"/>
      <c r="B155" t="s">
        <v>576</v>
      </c>
      <c r="K155"/>
      <c r="L155"/>
      <c r="M155"/>
      <c r="N155"/>
      <c r="O155"/>
    </row>
    <row r="156" spans="1:15" s="32" customFormat="1">
      <c r="A156"/>
      <c r="B156" t="s">
        <v>577</v>
      </c>
      <c r="K156"/>
      <c r="L156"/>
      <c r="M156"/>
      <c r="N156"/>
      <c r="O156"/>
    </row>
    <row r="157" spans="1:15" s="32" customFormat="1">
      <c r="A157"/>
      <c r="B157" t="s">
        <v>525</v>
      </c>
      <c r="K157"/>
      <c r="L157"/>
      <c r="M157"/>
      <c r="N157"/>
      <c r="O157"/>
    </row>
    <row r="158" spans="1:15" s="32" customFormat="1">
      <c r="A158"/>
      <c r="B158" t="s">
        <v>578</v>
      </c>
      <c r="K158"/>
      <c r="L158"/>
      <c r="M158"/>
      <c r="N158"/>
      <c r="O158"/>
    </row>
    <row r="159" spans="1:15" s="32" customFormat="1">
      <c r="A159"/>
      <c r="B159" t="s">
        <v>241</v>
      </c>
      <c r="C159" s="32" t="s">
        <v>579</v>
      </c>
      <c r="K159"/>
      <c r="L159"/>
      <c r="M159"/>
      <c r="N159"/>
      <c r="O159"/>
    </row>
    <row r="160" spans="1:15" s="32" customFormat="1">
      <c r="A160"/>
      <c r="B160" t="s">
        <v>70</v>
      </c>
      <c r="C160" s="32">
        <v>8.9999999999999993E-3</v>
      </c>
      <c r="K160"/>
      <c r="L160"/>
      <c r="M160"/>
      <c r="N160"/>
      <c r="O160"/>
    </row>
    <row r="161" spans="1:15" s="32" customFormat="1">
      <c r="A161"/>
      <c r="B161" t="s">
        <v>4</v>
      </c>
      <c r="C161" s="32">
        <v>3.0000000000000001E-3</v>
      </c>
      <c r="K161"/>
      <c r="L161"/>
      <c r="M161"/>
      <c r="N161"/>
      <c r="O161"/>
    </row>
    <row r="162" spans="1:15" s="32" customFormat="1">
      <c r="A162"/>
      <c r="B162" t="s">
        <v>5</v>
      </c>
      <c r="C162" s="32">
        <v>0.53500000000000003</v>
      </c>
      <c r="K162"/>
      <c r="L162"/>
      <c r="M162"/>
      <c r="N162"/>
      <c r="O162"/>
    </row>
    <row r="163" spans="1:15" s="32" customFormat="1">
      <c r="A163"/>
      <c r="B163" t="s">
        <v>6</v>
      </c>
      <c r="C163" s="32">
        <v>0.115</v>
      </c>
      <c r="K163"/>
      <c r="L163"/>
      <c r="M163"/>
      <c r="N163"/>
      <c r="O163"/>
    </row>
    <row r="164" spans="1:15" s="32" customFormat="1">
      <c r="A164"/>
      <c r="B164" t="s">
        <v>7</v>
      </c>
      <c r="C164" s="32">
        <v>8.7999999999999995E-2</v>
      </c>
      <c r="K164"/>
      <c r="L164"/>
      <c r="M164"/>
      <c r="N164"/>
      <c r="O164"/>
    </row>
    <row r="165" spans="1:15" s="32" customFormat="1">
      <c r="A165"/>
      <c r="B165" t="s">
        <v>560</v>
      </c>
      <c r="C165" s="32">
        <v>2.3E-2</v>
      </c>
      <c r="K165"/>
      <c r="L165"/>
      <c r="M165"/>
      <c r="N165"/>
      <c r="O165"/>
    </row>
    <row r="166" spans="1:15" s="32" customFormat="1">
      <c r="A166"/>
      <c r="B166" t="s">
        <v>561</v>
      </c>
      <c r="C166" s="32">
        <v>2.3E-2</v>
      </c>
      <c r="K166"/>
      <c r="L166"/>
      <c r="M166"/>
      <c r="N166"/>
      <c r="O166"/>
    </row>
    <row r="167" spans="1:15" s="32" customFormat="1">
      <c r="A167"/>
      <c r="B167" t="s">
        <v>562</v>
      </c>
      <c r="C167" s="32">
        <v>1.4999999999999999E-2</v>
      </c>
      <c r="K167"/>
      <c r="L167"/>
      <c r="M167"/>
      <c r="N167"/>
      <c r="O167"/>
    </row>
    <row r="168" spans="1:15" s="32" customFormat="1">
      <c r="A168"/>
      <c r="B168" t="s">
        <v>563</v>
      </c>
      <c r="C168" s="32">
        <v>1.4999999999999999E-2</v>
      </c>
      <c r="K168"/>
      <c r="L168"/>
      <c r="M168"/>
      <c r="N168"/>
      <c r="O168"/>
    </row>
    <row r="169" spans="1:15" s="32" customFormat="1">
      <c r="A169"/>
      <c r="B169" t="s">
        <v>115</v>
      </c>
      <c r="C169" s="32">
        <v>1.4999999999999999E-2</v>
      </c>
      <c r="K169"/>
      <c r="L169"/>
      <c r="M169"/>
      <c r="N169"/>
      <c r="O169"/>
    </row>
    <row r="170" spans="1:15" s="32" customFormat="1">
      <c r="A170"/>
      <c r="B170" t="s">
        <v>339</v>
      </c>
      <c r="C170" s="32">
        <v>0.159</v>
      </c>
      <c r="K170"/>
      <c r="L170"/>
      <c r="M170"/>
      <c r="N170"/>
      <c r="O170"/>
    </row>
    <row r="171" spans="1:15" s="32" customFormat="1">
      <c r="A171"/>
      <c r="B171" t="s">
        <v>580</v>
      </c>
      <c r="K171"/>
      <c r="L171"/>
      <c r="M171"/>
      <c r="N171"/>
      <c r="O171"/>
    </row>
    <row r="172" spans="1:15" s="32" customFormat="1">
      <c r="A172"/>
      <c r="B172" t="s">
        <v>526</v>
      </c>
      <c r="K172"/>
      <c r="L172"/>
      <c r="M172"/>
      <c r="N172"/>
      <c r="O172"/>
    </row>
    <row r="173" spans="1:15" s="32" customFormat="1">
      <c r="A173"/>
      <c r="B173" t="s">
        <v>527</v>
      </c>
      <c r="K173"/>
      <c r="L173"/>
      <c r="M173"/>
      <c r="N173"/>
      <c r="O173"/>
    </row>
    <row r="174" spans="1:15" s="32" customFormat="1">
      <c r="A174"/>
      <c r="B174" t="s">
        <v>528</v>
      </c>
      <c r="K174"/>
      <c r="L174"/>
      <c r="M174"/>
      <c r="N174"/>
      <c r="O174"/>
    </row>
    <row r="175" spans="1:15" s="32" customFormat="1">
      <c r="A175"/>
      <c r="B175" t="s">
        <v>529</v>
      </c>
      <c r="K175"/>
      <c r="L175"/>
      <c r="M175"/>
      <c r="N175"/>
      <c r="O175"/>
    </row>
    <row r="176" spans="1:15" s="32" customFormat="1">
      <c r="A176"/>
      <c r="B176" t="s">
        <v>530</v>
      </c>
      <c r="K176"/>
      <c r="L176"/>
      <c r="M176"/>
      <c r="N176"/>
      <c r="O176"/>
    </row>
    <row r="177" spans="1:15" s="32" customFormat="1">
      <c r="A177"/>
      <c r="B177" t="s">
        <v>518</v>
      </c>
      <c r="K177"/>
      <c r="L177"/>
      <c r="M177"/>
      <c r="N177"/>
      <c r="O177"/>
    </row>
    <row r="178" spans="1:15" s="32" customFormat="1">
      <c r="A178"/>
      <c r="B178" t="s">
        <v>531</v>
      </c>
      <c r="K178"/>
      <c r="L178"/>
      <c r="M178"/>
      <c r="N178"/>
      <c r="O178"/>
    </row>
    <row r="179" spans="1:15" s="32" customFormat="1">
      <c r="A179"/>
      <c r="B179" t="s">
        <v>581</v>
      </c>
      <c r="K179"/>
      <c r="L179"/>
      <c r="M179"/>
      <c r="N179"/>
      <c r="O179"/>
    </row>
    <row r="180" spans="1:15" s="32" customFormat="1">
      <c r="A180"/>
      <c r="B180" t="s">
        <v>520</v>
      </c>
      <c r="K180"/>
      <c r="L180"/>
      <c r="M180"/>
      <c r="N180"/>
      <c r="O180"/>
    </row>
    <row r="181" spans="1:15" s="32" customFormat="1">
      <c r="A181"/>
      <c r="B181" t="s">
        <v>532</v>
      </c>
      <c r="K181"/>
      <c r="L181"/>
      <c r="M181"/>
      <c r="N181"/>
      <c r="O181"/>
    </row>
    <row r="182" spans="1:15" s="32" customFormat="1">
      <c r="A182"/>
      <c r="B182" t="s">
        <v>241</v>
      </c>
      <c r="C182" s="32" t="s">
        <v>582</v>
      </c>
      <c r="D182" s="32" t="s">
        <v>583</v>
      </c>
      <c r="E182" s="32" t="s">
        <v>533</v>
      </c>
      <c r="F182" s="32" t="s">
        <v>534</v>
      </c>
      <c r="K182"/>
      <c r="L182"/>
      <c r="M182"/>
      <c r="N182"/>
      <c r="O182"/>
    </row>
    <row r="183" spans="1:15" s="32" customFormat="1">
      <c r="A183"/>
      <c r="B183" t="s">
        <v>70</v>
      </c>
      <c r="C183" s="32">
        <v>1071</v>
      </c>
      <c r="D183" s="32">
        <v>547.9</v>
      </c>
      <c r="E183" s="32">
        <v>0.22500000000000001</v>
      </c>
      <c r="F183" s="32">
        <v>2.0922999999999998</v>
      </c>
      <c r="K183"/>
      <c r="L183"/>
      <c r="M183"/>
      <c r="N183"/>
      <c r="O183"/>
    </row>
    <row r="184" spans="1:15" s="32" customFormat="1">
      <c r="A184"/>
      <c r="B184" t="s">
        <v>4</v>
      </c>
      <c r="C184" s="32">
        <v>493</v>
      </c>
      <c r="D184" s="32">
        <v>227.6</v>
      </c>
      <c r="E184" s="32">
        <v>0.04</v>
      </c>
      <c r="F184" s="32">
        <v>16.343</v>
      </c>
      <c r="K184"/>
      <c r="L184"/>
      <c r="M184"/>
      <c r="N184"/>
      <c r="O184"/>
    </row>
    <row r="185" spans="1:15" s="32" customFormat="1">
      <c r="A185"/>
      <c r="B185" t="s">
        <v>5</v>
      </c>
      <c r="C185" s="32">
        <v>667.8</v>
      </c>
      <c r="D185" s="32">
        <v>343.37</v>
      </c>
      <c r="E185" s="32">
        <v>1.04E-2</v>
      </c>
      <c r="F185" s="32">
        <v>7.1550000000000002</v>
      </c>
      <c r="K185"/>
      <c r="L185"/>
      <c r="M185"/>
      <c r="N185"/>
      <c r="O185"/>
    </row>
    <row r="186" spans="1:15" s="32" customFormat="1">
      <c r="A186"/>
      <c r="B186" t="s">
        <v>6</v>
      </c>
      <c r="C186" s="32">
        <v>707.8</v>
      </c>
      <c r="D186" s="32">
        <v>550.09</v>
      </c>
      <c r="E186" s="32">
        <v>9.8599999999999993E-2</v>
      </c>
      <c r="F186" s="32">
        <v>1.236</v>
      </c>
      <c r="K186"/>
      <c r="L186"/>
      <c r="M186"/>
      <c r="N186"/>
      <c r="O186"/>
    </row>
    <row r="187" spans="1:15" s="32" customFormat="1">
      <c r="A187"/>
      <c r="B187" t="s">
        <v>7</v>
      </c>
      <c r="C187" s="32">
        <v>616.29999999999995</v>
      </c>
      <c r="D187" s="32">
        <v>666.01</v>
      </c>
      <c r="E187" s="32">
        <v>0.1542</v>
      </c>
      <c r="F187" s="32">
        <v>0.34899999999999998</v>
      </c>
      <c r="K187"/>
      <c r="L187"/>
      <c r="M187"/>
      <c r="N187"/>
      <c r="O187"/>
    </row>
    <row r="188" spans="1:15" s="32" customFormat="1">
      <c r="A188"/>
      <c r="B188" t="s">
        <v>560</v>
      </c>
      <c r="C188" s="32">
        <v>529.1</v>
      </c>
      <c r="D188" s="32">
        <v>734.98</v>
      </c>
      <c r="E188" s="32">
        <v>0.18479999999999999</v>
      </c>
      <c r="F188" s="32">
        <v>0.14399999999999999</v>
      </c>
      <c r="K188"/>
      <c r="L188"/>
      <c r="M188"/>
      <c r="N188"/>
      <c r="O188"/>
    </row>
    <row r="189" spans="1:15" s="32" customFormat="1">
      <c r="A189"/>
      <c r="B189" t="s">
        <v>561</v>
      </c>
      <c r="C189" s="32">
        <v>550.70000000000005</v>
      </c>
      <c r="D189" s="32">
        <v>765.65</v>
      </c>
      <c r="E189" s="32">
        <v>0.20100000000000001</v>
      </c>
      <c r="F189" s="32">
        <v>0.106</v>
      </c>
      <c r="K189"/>
      <c r="L189"/>
      <c r="M189"/>
      <c r="N189"/>
      <c r="O189"/>
    </row>
    <row r="190" spans="1:15" s="32" customFormat="1">
      <c r="A190"/>
      <c r="B190" t="s">
        <v>562</v>
      </c>
      <c r="C190" s="32">
        <v>490.4</v>
      </c>
      <c r="D190" s="32">
        <v>829.1</v>
      </c>
      <c r="E190" s="32">
        <v>0.2223</v>
      </c>
      <c r="F190" s="32">
        <v>4.5999999999999999E-2</v>
      </c>
      <c r="K190"/>
      <c r="L190"/>
      <c r="M190"/>
      <c r="N190"/>
      <c r="O190"/>
    </row>
    <row r="191" spans="1:15" s="32" customFormat="1">
      <c r="A191"/>
      <c r="B191" t="s">
        <v>563</v>
      </c>
      <c r="C191" s="32">
        <v>488.6</v>
      </c>
      <c r="D191" s="32">
        <v>845.7</v>
      </c>
      <c r="E191" s="32">
        <v>0.25390000000000001</v>
      </c>
      <c r="F191" s="32">
        <v>3.5999999999999997E-2</v>
      </c>
      <c r="K191"/>
      <c r="L191"/>
      <c r="M191"/>
      <c r="N191"/>
      <c r="O191"/>
    </row>
    <row r="192" spans="1:15" s="32" customFormat="1">
      <c r="A192"/>
      <c r="B192" t="s">
        <v>115</v>
      </c>
      <c r="C192" s="32">
        <v>436.9</v>
      </c>
      <c r="D192" s="32">
        <v>913.7</v>
      </c>
      <c r="E192" s="32">
        <v>0.30070000000000002</v>
      </c>
      <c r="F192" s="32">
        <v>1.2999999999999999E-2</v>
      </c>
      <c r="K192"/>
      <c r="L192"/>
      <c r="M192"/>
      <c r="N192"/>
      <c r="O192"/>
    </row>
    <row r="193" spans="1:15" s="32" customFormat="1">
      <c r="A193"/>
      <c r="B193" t="s">
        <v>339</v>
      </c>
      <c r="C193" s="32">
        <v>320.3</v>
      </c>
      <c r="D193" s="32">
        <v>1139.4000000000001</v>
      </c>
      <c r="E193" s="32">
        <v>0.50690000000000002</v>
      </c>
      <c r="F193" s="32">
        <v>2.9E-4</v>
      </c>
      <c r="K193"/>
      <c r="L193"/>
      <c r="M193"/>
      <c r="N193"/>
      <c r="O193"/>
    </row>
    <row r="194" spans="1:15" s="32" customFormat="1">
      <c r="A194"/>
      <c r="B194" t="s">
        <v>528</v>
      </c>
      <c r="K194"/>
      <c r="L194"/>
      <c r="M194"/>
      <c r="N194"/>
      <c r="O194"/>
    </row>
    <row r="196" spans="1:15" s="32" customFormat="1">
      <c r="A196"/>
      <c r="B196" t="s">
        <v>518</v>
      </c>
      <c r="K196"/>
      <c r="L196"/>
      <c r="M196"/>
      <c r="N196"/>
      <c r="O196"/>
    </row>
    <row r="197" spans="1:15" s="32" customFormat="1">
      <c r="A197"/>
      <c r="B197" t="s">
        <v>535</v>
      </c>
      <c r="K197"/>
      <c r="L197"/>
      <c r="M197"/>
      <c r="N197"/>
      <c r="O197"/>
    </row>
    <row r="198" spans="1:15" s="32" customFormat="1">
      <c r="A198"/>
      <c r="B198" t="s">
        <v>536</v>
      </c>
      <c r="K198"/>
      <c r="L198"/>
      <c r="M198"/>
      <c r="N198"/>
      <c r="O198"/>
    </row>
    <row r="200" spans="1:15" s="32" customFormat="1">
      <c r="A200"/>
      <c r="B200" t="s">
        <v>520</v>
      </c>
      <c r="K200"/>
      <c r="L200"/>
      <c r="M200"/>
      <c r="N200"/>
      <c r="O200"/>
    </row>
    <row r="201" spans="1:15" s="32" customFormat="1">
      <c r="A201"/>
      <c r="B201" t="s">
        <v>537</v>
      </c>
      <c r="K201"/>
      <c r="L201"/>
      <c r="M201"/>
      <c r="N201"/>
      <c r="O201"/>
    </row>
    <row r="202" spans="1:15" s="32" customFormat="1">
      <c r="A202"/>
      <c r="B202" t="s">
        <v>538</v>
      </c>
      <c r="K202"/>
      <c r="L202"/>
      <c r="M202"/>
      <c r="N202"/>
      <c r="O202"/>
    </row>
    <row r="204" spans="1:15" s="32" customFormat="1">
      <c r="A204"/>
      <c r="B204" t="s">
        <v>539</v>
      </c>
      <c r="K204"/>
      <c r="L204"/>
      <c r="M204"/>
      <c r="N204"/>
      <c r="O204"/>
    </row>
    <row r="205" spans="1:15" s="32" customFormat="1">
      <c r="A205"/>
      <c r="B205" t="s">
        <v>584</v>
      </c>
      <c r="K205"/>
      <c r="L205"/>
      <c r="M205"/>
      <c r="N205"/>
      <c r="O205"/>
    </row>
    <row r="206" spans="1:15" s="32" customFormat="1">
      <c r="A206"/>
      <c r="B206" t="s">
        <v>540</v>
      </c>
      <c r="K206"/>
      <c r="L206"/>
      <c r="M206"/>
      <c r="N206"/>
      <c r="O206"/>
    </row>
    <row r="208" spans="1:15" s="32" customFormat="1">
      <c r="A208"/>
      <c r="B208" t="s">
        <v>541</v>
      </c>
      <c r="K208"/>
      <c r="L208"/>
      <c r="M208"/>
      <c r="N208"/>
      <c r="O208"/>
    </row>
    <row r="209" spans="1:15" s="32" customFormat="1">
      <c r="A209"/>
      <c r="B209" t="s">
        <v>542</v>
      </c>
      <c r="K209"/>
      <c r="L209"/>
      <c r="M209"/>
      <c r="N209"/>
      <c r="O209"/>
    </row>
    <row r="210" spans="1:15" s="32" customFormat="1">
      <c r="A210"/>
      <c r="B210" t="s">
        <v>543</v>
      </c>
      <c r="C210" s="32" t="s">
        <v>543</v>
      </c>
      <c r="D210" s="32" t="s">
        <v>543</v>
      </c>
      <c r="E210" s="32" t="s">
        <v>585</v>
      </c>
      <c r="F210" s="32" t="s">
        <v>586</v>
      </c>
      <c r="K210"/>
      <c r="L210"/>
      <c r="M210"/>
      <c r="N210"/>
      <c r="O210"/>
    </row>
    <row r="211" spans="1:15" s="32" customFormat="1">
      <c r="A211"/>
      <c r="B211" t="s">
        <v>241</v>
      </c>
      <c r="C211" s="32" t="s">
        <v>558</v>
      </c>
      <c r="D211" s="32" t="s">
        <v>587</v>
      </c>
      <c r="E211" s="32" t="s">
        <v>544</v>
      </c>
      <c r="F211" s="32" t="s">
        <v>545</v>
      </c>
      <c r="K211"/>
      <c r="L211"/>
      <c r="M211"/>
      <c r="N211"/>
      <c r="O211"/>
    </row>
    <row r="212" spans="1:15" s="32" customFormat="1">
      <c r="A212"/>
      <c r="B212" t="s">
        <v>70</v>
      </c>
      <c r="C212" s="32">
        <v>652</v>
      </c>
      <c r="D212" s="32">
        <v>194</v>
      </c>
      <c r="E212" s="32">
        <v>2.2919999999999998</v>
      </c>
      <c r="F212" s="32">
        <v>2.3439999999999999</v>
      </c>
      <c r="K212"/>
      <c r="L212"/>
      <c r="M212"/>
      <c r="N212"/>
      <c r="O212"/>
    </row>
    <row r="213" spans="1:15" s="32" customFormat="1">
      <c r="A213"/>
      <c r="B213" t="s">
        <v>4</v>
      </c>
      <c r="C213" s="32">
        <v>470</v>
      </c>
      <c r="D213" s="32">
        <v>109</v>
      </c>
      <c r="E213" s="32">
        <v>3.5409999999999999</v>
      </c>
      <c r="F213" s="32">
        <v>16.811</v>
      </c>
      <c r="K213"/>
      <c r="L213"/>
      <c r="M213"/>
      <c r="N213"/>
      <c r="O213"/>
    </row>
    <row r="214" spans="1:15" s="32" customFormat="1">
      <c r="A214"/>
      <c r="B214" t="s">
        <v>5</v>
      </c>
      <c r="C214" s="32">
        <v>300</v>
      </c>
      <c r="D214" s="32">
        <v>94</v>
      </c>
      <c r="E214" s="32">
        <v>2.7</v>
      </c>
      <c r="F214" s="32">
        <v>4.4619999999999997</v>
      </c>
      <c r="K214"/>
      <c r="L214"/>
      <c r="M214"/>
      <c r="N214"/>
      <c r="O214"/>
    </row>
    <row r="215" spans="1:15" s="32" customFormat="1">
      <c r="A215"/>
      <c r="B215" t="s">
        <v>6</v>
      </c>
      <c r="C215" s="32">
        <v>1145</v>
      </c>
      <c r="D215" s="32">
        <v>303</v>
      </c>
      <c r="E215" s="32">
        <v>1.9019999999999999</v>
      </c>
      <c r="F215" s="32">
        <v>1.2669999999999999</v>
      </c>
      <c r="K215"/>
      <c r="L215"/>
      <c r="M215"/>
      <c r="N215"/>
      <c r="O215"/>
    </row>
    <row r="216" spans="1:15" s="32" customFormat="1">
      <c r="A216"/>
      <c r="B216" t="s">
        <v>7</v>
      </c>
      <c r="C216" s="32">
        <v>1799</v>
      </c>
      <c r="D216" s="32">
        <v>416</v>
      </c>
      <c r="E216" s="32">
        <v>1.375</v>
      </c>
      <c r="F216" s="32">
        <v>0.55200000000000005</v>
      </c>
      <c r="K216"/>
      <c r="L216"/>
      <c r="M216"/>
      <c r="N216"/>
      <c r="O216"/>
    </row>
    <row r="217" spans="1:15" s="32" customFormat="1">
      <c r="A217"/>
      <c r="B217" t="s">
        <v>560</v>
      </c>
      <c r="C217" s="32">
        <v>2037</v>
      </c>
      <c r="D217" s="32">
        <v>471</v>
      </c>
      <c r="E217" s="32">
        <v>0.98499999999999999</v>
      </c>
      <c r="F217" s="32">
        <v>0.29799999999999999</v>
      </c>
      <c r="K217"/>
      <c r="L217"/>
      <c r="M217"/>
      <c r="N217"/>
      <c r="O217"/>
    </row>
    <row r="218" spans="1:15" s="32" customFormat="1">
      <c r="A218"/>
      <c r="B218" t="s">
        <v>561</v>
      </c>
      <c r="C218" s="32">
        <v>2153</v>
      </c>
      <c r="D218" s="32">
        <v>491</v>
      </c>
      <c r="E218" s="32">
        <v>0.85499999999999998</v>
      </c>
      <c r="F218" s="32">
        <v>0.24299999999999999</v>
      </c>
      <c r="K218"/>
      <c r="L218"/>
      <c r="M218"/>
      <c r="N218"/>
      <c r="O218"/>
    </row>
    <row r="219" spans="1:15" s="32" customFormat="1">
      <c r="A219"/>
      <c r="B219" t="s">
        <v>562</v>
      </c>
      <c r="C219" s="32">
        <v>2368</v>
      </c>
      <c r="D219" s="32">
        <v>542</v>
      </c>
      <c r="E219" s="32">
        <v>0.48699999999999999</v>
      </c>
      <c r="F219" s="32">
        <v>0.13600000000000001</v>
      </c>
      <c r="K219"/>
      <c r="L219"/>
      <c r="M219"/>
      <c r="N219"/>
      <c r="O219"/>
    </row>
    <row r="220" spans="1:15" s="32" customFormat="1">
      <c r="A220"/>
      <c r="B220" t="s">
        <v>563</v>
      </c>
      <c r="C220" s="32">
        <v>2480</v>
      </c>
      <c r="D220" s="32">
        <v>557</v>
      </c>
      <c r="E220" s="32">
        <v>0.38700000000000001</v>
      </c>
      <c r="F220" s="32">
        <v>0.11600000000000001</v>
      </c>
      <c r="K220"/>
      <c r="L220"/>
      <c r="M220"/>
      <c r="N220"/>
      <c r="O220"/>
    </row>
    <row r="221" spans="1:15" s="32" customFormat="1">
      <c r="A221"/>
      <c r="B221" t="s">
        <v>115</v>
      </c>
      <c r="C221" s="32">
        <v>2738</v>
      </c>
      <c r="D221" s="32">
        <v>610</v>
      </c>
      <c r="E221" s="32">
        <v>0</v>
      </c>
      <c r="F221" s="32">
        <v>6.3E-2</v>
      </c>
      <c r="K221"/>
      <c r="L221"/>
      <c r="M221"/>
      <c r="N221"/>
      <c r="O221"/>
    </row>
    <row r="222" spans="1:15" s="32" customFormat="1">
      <c r="A222"/>
      <c r="B222" t="s">
        <v>339</v>
      </c>
      <c r="C222" s="32">
        <v>3833.3690000000001</v>
      </c>
      <c r="D222" s="32">
        <v>803.41</v>
      </c>
      <c r="E222" s="32" t="s">
        <v>546</v>
      </c>
      <c r="F222" s="32">
        <v>5.7999999999999996E-3</v>
      </c>
      <c r="K222"/>
      <c r="L222"/>
      <c r="M222"/>
      <c r="N222"/>
      <c r="O222"/>
    </row>
    <row r="224" spans="1:15" s="32" customFormat="1">
      <c r="A224"/>
      <c r="B224" t="s">
        <v>547</v>
      </c>
      <c r="K224"/>
      <c r="L224"/>
      <c r="M224"/>
      <c r="N224"/>
      <c r="O224"/>
    </row>
    <row r="225" spans="1:15" s="32" customFormat="1">
      <c r="A225"/>
      <c r="B225" t="s">
        <v>548</v>
      </c>
      <c r="K225"/>
      <c r="L225"/>
      <c r="M225"/>
      <c r="N225"/>
      <c r="O225"/>
    </row>
    <row r="226" spans="1:15" s="32" customFormat="1">
      <c r="A226"/>
      <c r="B226" t="s">
        <v>549</v>
      </c>
      <c r="K226"/>
      <c r="L226"/>
      <c r="M226"/>
      <c r="N226"/>
      <c r="O226"/>
    </row>
    <row r="227" spans="1:15" s="32" customFormat="1">
      <c r="A227"/>
      <c r="B227" t="s">
        <v>550</v>
      </c>
      <c r="K227"/>
      <c r="L227"/>
      <c r="M227"/>
      <c r="N227"/>
      <c r="O227"/>
    </row>
    <row r="228" spans="1:15" s="32" customFormat="1">
      <c r="A228"/>
      <c r="B228" t="s">
        <v>551</v>
      </c>
      <c r="K228"/>
      <c r="L228"/>
      <c r="M228"/>
      <c r="N228"/>
      <c r="O228"/>
    </row>
    <row r="229" spans="1:15" s="32" customFormat="1">
      <c r="A229"/>
      <c r="B229" t="s">
        <v>552</v>
      </c>
      <c r="K229"/>
      <c r="L229"/>
      <c r="M229"/>
      <c r="N229"/>
      <c r="O229"/>
    </row>
    <row r="230" spans="1:15" s="32" customFormat="1">
      <c r="A230"/>
      <c r="B230" t="s">
        <v>553</v>
      </c>
      <c r="K230"/>
      <c r="L230"/>
      <c r="M230"/>
      <c r="N230"/>
      <c r="O230"/>
    </row>
    <row r="231" spans="1:15" s="32" customFormat="1">
      <c r="A231"/>
      <c r="B231" t="s">
        <v>554</v>
      </c>
      <c r="K231"/>
      <c r="L231"/>
      <c r="M231"/>
      <c r="N231"/>
      <c r="O231"/>
    </row>
    <row r="232" spans="1:15" s="32" customFormat="1">
      <c r="A232"/>
      <c r="B232" t="s">
        <v>588</v>
      </c>
      <c r="K232"/>
      <c r="L232"/>
      <c r="M232"/>
      <c r="N232"/>
      <c r="O232"/>
    </row>
    <row r="233" spans="1:15" s="32" customFormat="1">
      <c r="A233"/>
      <c r="B233" t="s">
        <v>241</v>
      </c>
      <c r="C233" s="32" t="s">
        <v>579</v>
      </c>
      <c r="D233" s="32" t="s">
        <v>586</v>
      </c>
      <c r="E233" s="32" t="s">
        <v>589</v>
      </c>
      <c r="F233" s="32" t="s">
        <v>590</v>
      </c>
      <c r="G233" s="32" t="s">
        <v>591</v>
      </c>
      <c r="K233"/>
      <c r="L233"/>
      <c r="M233"/>
      <c r="N233"/>
      <c r="O233"/>
    </row>
    <row r="234" spans="1:15" s="32" customFormat="1">
      <c r="A234"/>
      <c r="B234" t="s">
        <v>70</v>
      </c>
      <c r="C234" s="32">
        <v>8.0000000000000004E-4</v>
      </c>
      <c r="D234" s="32">
        <v>3.5089999999999999</v>
      </c>
      <c r="E234" s="32">
        <v>5.0000000000000001E-4</v>
      </c>
      <c r="F234" s="32">
        <v>1.8E-3</v>
      </c>
      <c r="G234" s="32">
        <v>44</v>
      </c>
      <c r="K234"/>
      <c r="L234"/>
      <c r="M234"/>
      <c r="N234"/>
      <c r="O234"/>
    </row>
    <row r="235" spans="1:15" s="32" customFormat="1">
      <c r="A235"/>
      <c r="B235" t="s">
        <v>4</v>
      </c>
      <c r="C235" s="32">
        <v>1.6400000000000001E-2</v>
      </c>
      <c r="D235" s="32">
        <v>39.9</v>
      </c>
      <c r="E235" s="32">
        <v>1.4E-3</v>
      </c>
      <c r="F235" s="32">
        <v>5.5199999999999999E-2</v>
      </c>
      <c r="G235" s="32">
        <v>28</v>
      </c>
      <c r="K235"/>
      <c r="L235"/>
      <c r="M235"/>
      <c r="N235"/>
      <c r="O235"/>
    </row>
    <row r="236" spans="1:15" s="32" customFormat="1">
      <c r="A236"/>
      <c r="B236" t="s">
        <v>5</v>
      </c>
      <c r="C236" s="32">
        <v>0.28399999999999997</v>
      </c>
      <c r="D236" s="32">
        <v>8.85</v>
      </c>
      <c r="E236" s="32">
        <v>8.8999999999999996E-2</v>
      </c>
      <c r="F236" s="32">
        <v>0.78769999999999996</v>
      </c>
      <c r="G236" s="32">
        <v>16</v>
      </c>
      <c r="K236"/>
      <c r="L236"/>
      <c r="M236"/>
      <c r="N236"/>
      <c r="O236"/>
    </row>
    <row r="237" spans="1:15" s="32" customFormat="1">
      <c r="A237"/>
      <c r="B237" t="s">
        <v>6</v>
      </c>
      <c r="C237" s="32">
        <v>7.1599999999999997E-2</v>
      </c>
      <c r="D237" s="32">
        <v>1.349</v>
      </c>
      <c r="E237" s="32">
        <v>6.5199999999999994E-2</v>
      </c>
      <c r="F237" s="32">
        <v>8.7999999999999995E-2</v>
      </c>
      <c r="G237" s="32">
        <v>30</v>
      </c>
      <c r="K237"/>
      <c r="L237"/>
      <c r="M237"/>
      <c r="N237"/>
      <c r="O237"/>
    </row>
    <row r="238" spans="1:15" s="32" customFormat="1">
      <c r="A238"/>
      <c r="B238" t="s">
        <v>7</v>
      </c>
      <c r="C238" s="32">
        <v>0.1048</v>
      </c>
      <c r="D238" s="32">
        <v>0.373</v>
      </c>
      <c r="E238" s="32">
        <v>0.127</v>
      </c>
      <c r="F238" s="32">
        <v>4.7399999999999998E-2</v>
      </c>
      <c r="G238" s="32">
        <v>44</v>
      </c>
      <c r="K238"/>
      <c r="L238"/>
      <c r="M238"/>
      <c r="N238"/>
      <c r="O238"/>
    </row>
    <row r="239" spans="1:15" s="32" customFormat="1">
      <c r="A239"/>
      <c r="B239" t="s">
        <v>592</v>
      </c>
      <c r="C239" s="32">
        <v>4.2000000000000003E-2</v>
      </c>
      <c r="D239" s="32">
        <v>0.161</v>
      </c>
      <c r="E239" s="32">
        <v>5.4800000000000001E-2</v>
      </c>
      <c r="F239" s="32">
        <v>8.8000000000000005E-3</v>
      </c>
      <c r="G239" s="32">
        <v>58</v>
      </c>
      <c r="K239"/>
      <c r="L239"/>
      <c r="M239"/>
      <c r="N239"/>
      <c r="O239"/>
    </row>
    <row r="240" spans="1:15" s="32" customFormat="1">
      <c r="A240"/>
      <c r="B240" t="s">
        <v>593</v>
      </c>
      <c r="C240" s="32">
        <v>4.2000000000000003E-2</v>
      </c>
      <c r="D240" s="32">
        <v>0.12</v>
      </c>
      <c r="E240" s="32">
        <v>5.57E-2</v>
      </c>
      <c r="F240" s="32">
        <v>6.7000000000000002E-3</v>
      </c>
      <c r="G240" s="32">
        <v>58</v>
      </c>
      <c r="K240"/>
      <c r="L240"/>
      <c r="M240"/>
      <c r="N240"/>
      <c r="O240"/>
    </row>
    <row r="241" spans="1:15" s="32" customFormat="1">
      <c r="A241"/>
      <c r="B241" t="s">
        <v>594</v>
      </c>
      <c r="C241" s="32">
        <v>1.9099999999999999E-2</v>
      </c>
      <c r="D241" s="32">
        <v>5.3999999999999999E-2</v>
      </c>
      <c r="E241" s="32">
        <v>2.5899999999999999E-2</v>
      </c>
      <c r="F241" s="32">
        <v>1.4E-3</v>
      </c>
      <c r="G241" s="32">
        <v>72</v>
      </c>
      <c r="K241"/>
      <c r="L241"/>
      <c r="M241"/>
      <c r="N241"/>
      <c r="O241"/>
    </row>
    <row r="242" spans="1:15" s="32" customFormat="1">
      <c r="A242"/>
      <c r="B242" t="s">
        <v>595</v>
      </c>
      <c r="C242" s="32">
        <v>1.9099999999999999E-2</v>
      </c>
      <c r="D242" s="32">
        <v>4.2999999999999997E-2</v>
      </c>
      <c r="E242" s="32">
        <v>2.6100000000000002E-2</v>
      </c>
      <c r="F242" s="32">
        <v>1.1000000000000001E-3</v>
      </c>
      <c r="G242" s="32">
        <v>72</v>
      </c>
      <c r="K242"/>
      <c r="L242"/>
      <c r="M242"/>
      <c r="N242"/>
      <c r="O242"/>
    </row>
    <row r="243" spans="1:15" s="32" customFormat="1">
      <c r="A243"/>
      <c r="B243" t="s">
        <v>115</v>
      </c>
      <c r="C243" s="32">
        <v>4.0500000000000001E-2</v>
      </c>
      <c r="D243" s="32">
        <v>1.7999999999999999E-2</v>
      </c>
      <c r="E243" s="32">
        <v>5.5800000000000002E-2</v>
      </c>
      <c r="F243" s="32">
        <v>1E-3</v>
      </c>
      <c r="G243" s="32">
        <v>86</v>
      </c>
      <c r="K243"/>
      <c r="L243"/>
      <c r="M243"/>
      <c r="N243"/>
      <c r="O243"/>
    </row>
    <row r="244" spans="1:15" s="32" customFormat="1">
      <c r="A244"/>
      <c r="B244" t="s">
        <v>339</v>
      </c>
      <c r="C244" s="32">
        <v>0.35970000000000002</v>
      </c>
      <c r="D244" s="32">
        <v>2.0999999999999999E-3</v>
      </c>
      <c r="E244" s="32">
        <v>0.49859999999999999</v>
      </c>
      <c r="F244" s="32">
        <v>8.9999999999999998E-4</v>
      </c>
      <c r="G244" s="32">
        <v>252</v>
      </c>
      <c r="K244"/>
      <c r="L244"/>
      <c r="M244"/>
      <c r="N244"/>
      <c r="O244"/>
    </row>
    <row r="245" spans="1:15" s="32" customFormat="1">
      <c r="A245"/>
      <c r="B245"/>
      <c r="K245"/>
      <c r="L245"/>
      <c r="M245"/>
      <c r="N245"/>
      <c r="O245"/>
    </row>
    <row r="246" spans="1:15" s="32" customFormat="1">
      <c r="A246"/>
      <c r="B246"/>
      <c r="K246"/>
      <c r="L246"/>
      <c r="M246"/>
      <c r="N246"/>
      <c r="O246"/>
    </row>
    <row r="247" spans="1:15" s="32" customFormat="1" ht="18.75">
      <c r="A247"/>
      <c r="B247" s="268" t="s">
        <v>746</v>
      </c>
      <c r="K247"/>
      <c r="L247"/>
      <c r="M247"/>
      <c r="N247"/>
      <c r="O247"/>
    </row>
    <row r="249" spans="1:15">
      <c r="B249" t="s">
        <v>747</v>
      </c>
    </row>
    <row r="250" spans="1:15">
      <c r="B250" t="s">
        <v>748</v>
      </c>
    </row>
    <row r="252" spans="1:15" ht="15.75" thickBot="1">
      <c r="D252" s="390"/>
      <c r="E252" s="390" t="s">
        <v>100</v>
      </c>
      <c r="F252" s="390"/>
    </row>
    <row r="253" spans="1:15">
      <c r="B253" s="214" t="s">
        <v>749</v>
      </c>
      <c r="C253" s="214" t="s">
        <v>476</v>
      </c>
      <c r="D253" s="214" t="s">
        <v>750</v>
      </c>
      <c r="E253" s="214" t="s">
        <v>362</v>
      </c>
      <c r="F253" s="214" t="s">
        <v>363</v>
      </c>
    </row>
    <row r="254" spans="1:15">
      <c r="B254" s="148">
        <v>40</v>
      </c>
      <c r="C254" s="148">
        <v>1000</v>
      </c>
      <c r="D254" s="148">
        <v>0.96599999999999997</v>
      </c>
      <c r="E254" s="148">
        <v>0.96789999999999998</v>
      </c>
      <c r="F254" s="148">
        <v>0.86890000000000001</v>
      </c>
    </row>
    <row r="255" spans="1:15">
      <c r="B255" s="148">
        <v>40</v>
      </c>
      <c r="C255" s="148">
        <v>800</v>
      </c>
      <c r="D255" s="148">
        <v>0.97</v>
      </c>
      <c r="E255" s="148">
        <v>0.96950000000000003</v>
      </c>
      <c r="F255" s="148">
        <v>0.90649999999999997</v>
      </c>
    </row>
    <row r="256" spans="1:15">
      <c r="B256" s="148">
        <v>40</v>
      </c>
      <c r="C256" s="148">
        <v>600</v>
      </c>
      <c r="D256" s="148">
        <v>0.97899999999999998</v>
      </c>
      <c r="E256" s="148">
        <v>0.97719999999999996</v>
      </c>
      <c r="F256" s="148">
        <v>0.94079999999999997</v>
      </c>
    </row>
    <row r="257" spans="2:6">
      <c r="B257" s="148">
        <v>40</v>
      </c>
      <c r="C257" s="225">
        <v>400</v>
      </c>
      <c r="D257" s="148">
        <v>0.98899999999999999</v>
      </c>
      <c r="E257" s="148">
        <v>0.98929999999999996</v>
      </c>
      <c r="F257" s="148">
        <v>0.97140000000000004</v>
      </c>
    </row>
    <row r="258" spans="2:6">
      <c r="B258" s="148">
        <v>40</v>
      </c>
      <c r="C258" s="391">
        <v>200</v>
      </c>
      <c r="D258" s="392">
        <v>0.998</v>
      </c>
      <c r="E258" s="392">
        <v>1</v>
      </c>
      <c r="F258" s="148">
        <v>0.99509999999999998</v>
      </c>
    </row>
    <row r="259" spans="2:6">
      <c r="B259" s="148"/>
      <c r="C259" s="148"/>
      <c r="D259" s="148"/>
      <c r="E259" s="148"/>
      <c r="F259" s="148"/>
    </row>
    <row r="260" spans="2:6">
      <c r="B260" s="148"/>
      <c r="C260" s="148"/>
      <c r="D260" s="148"/>
      <c r="E260" s="148"/>
      <c r="F260" s="148"/>
    </row>
    <row r="261" spans="2:6">
      <c r="B261" s="148"/>
      <c r="C261" s="148"/>
      <c r="D261" s="148"/>
      <c r="E261" s="148"/>
      <c r="F261" s="148"/>
    </row>
    <row r="269" spans="2:6" ht="15.75" thickBot="1">
      <c r="B269" s="148"/>
      <c r="C269" s="148"/>
      <c r="D269" s="390"/>
      <c r="E269" s="390" t="s">
        <v>100</v>
      </c>
      <c r="F269" s="390"/>
    </row>
    <row r="270" spans="2:6">
      <c r="B270" s="214" t="s">
        <v>749</v>
      </c>
      <c r="C270" s="214" t="s">
        <v>476</v>
      </c>
      <c r="D270" s="214" t="s">
        <v>750</v>
      </c>
      <c r="E270" s="214" t="s">
        <v>362</v>
      </c>
      <c r="F270" s="214" t="s">
        <v>363</v>
      </c>
    </row>
    <row r="271" spans="2:6">
      <c r="B271" s="148">
        <v>80</v>
      </c>
      <c r="C271" s="148">
        <v>1000</v>
      </c>
      <c r="D271" s="148">
        <v>1</v>
      </c>
      <c r="E271" s="148">
        <v>0.99929999999999997</v>
      </c>
      <c r="F271" s="148">
        <v>0.94140000000000001</v>
      </c>
    </row>
    <row r="272" spans="2:6">
      <c r="B272" s="148">
        <v>80</v>
      </c>
      <c r="C272" s="148">
        <v>800</v>
      </c>
      <c r="D272" s="148">
        <v>1</v>
      </c>
      <c r="E272" s="148">
        <v>0.99890000000000001</v>
      </c>
      <c r="F272" s="148">
        <v>0.96340000000000003</v>
      </c>
    </row>
    <row r="273" spans="2:6">
      <c r="B273" s="148">
        <v>80</v>
      </c>
      <c r="C273" s="148">
        <v>600</v>
      </c>
      <c r="D273" s="148">
        <v>1</v>
      </c>
      <c r="E273" s="148">
        <v>1</v>
      </c>
      <c r="F273" s="148">
        <v>0.98199999999999998</v>
      </c>
    </row>
    <row r="274" spans="2:6">
      <c r="B274" s="148">
        <v>80</v>
      </c>
      <c r="C274" s="225">
        <v>400</v>
      </c>
      <c r="D274" s="148">
        <v>1</v>
      </c>
      <c r="E274" s="148">
        <v>1</v>
      </c>
      <c r="F274" s="148">
        <v>0.99570000000000003</v>
      </c>
    </row>
    <row r="275" spans="2:6">
      <c r="B275" s="148">
        <v>80</v>
      </c>
      <c r="C275" s="391">
        <v>200</v>
      </c>
      <c r="D275" s="392">
        <v>1</v>
      </c>
      <c r="E275" s="392">
        <v>1</v>
      </c>
      <c r="F275" s="148">
        <v>0.99970000000000003</v>
      </c>
    </row>
  </sheetData>
  <mergeCells count="3">
    <mergeCell ref="B11:C11"/>
    <mergeCell ref="W12:Y12"/>
    <mergeCell ref="Z12:AA12"/>
  </mergeCells>
  <hyperlinks>
    <hyperlink ref="B2" r:id="rId1" xr:uid="{E476AA69-0DDE-48FA-8C64-5222CEAA5E1E}"/>
    <hyperlink ref="B103" r:id="rId2" display="https://www.sciencedirect.com/topics/engineering/standing-correlation" xr:uid="{742FDAEB-B2DB-4722-AA1C-6351ECF9658D}"/>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7" tint="-0.249977111117893"/>
  </sheetPr>
  <dimension ref="B2:X109"/>
  <sheetViews>
    <sheetView workbookViewId="0"/>
  </sheetViews>
  <sheetFormatPr defaultColWidth="9.140625" defaultRowHeight="15"/>
  <cols>
    <col min="1" max="1" width="2.5703125" style="1" customWidth="1"/>
    <col min="2" max="13" width="9.140625" style="1"/>
    <col min="14" max="14" width="5.140625" style="1" customWidth="1"/>
    <col min="15" max="15" width="13.85546875" style="1" customWidth="1"/>
    <col min="16" max="16" width="9.140625" style="1"/>
    <col min="17" max="17" width="6" style="1" customWidth="1"/>
    <col min="18" max="18" width="12" style="1" bestFit="1" customWidth="1"/>
    <col min="19" max="21" width="9.140625" style="1"/>
    <col min="22" max="22" width="12" style="1" bestFit="1" customWidth="1"/>
    <col min="23" max="23" width="16.5703125" style="1" customWidth="1"/>
    <col min="24" max="26" width="12" style="1" customWidth="1"/>
    <col min="27" max="32" width="9.140625" style="1"/>
    <col min="33" max="33" width="9" style="1" customWidth="1"/>
    <col min="34" max="16384" width="9.140625" style="1"/>
  </cols>
  <sheetData>
    <row r="2" spans="2:23" s="235" customFormat="1" ht="18.75">
      <c r="D2" s="138" t="s">
        <v>487</v>
      </c>
    </row>
    <row r="3" spans="2:23">
      <c r="D3" s="121" t="s">
        <v>488</v>
      </c>
    </row>
    <row r="7" spans="2:23">
      <c r="B7" s="3" t="s">
        <v>15</v>
      </c>
    </row>
    <row r="8" spans="2:23" ht="15.75" thickBot="1"/>
    <row r="9" spans="2:23">
      <c r="O9" s="79"/>
      <c r="P9" s="80"/>
      <c r="Q9" s="80"/>
      <c r="R9" s="80"/>
      <c r="S9" s="80"/>
      <c r="T9" s="80"/>
      <c r="U9" s="80"/>
      <c r="V9" s="80"/>
      <c r="W9" s="106"/>
    </row>
    <row r="10" spans="2:23">
      <c r="B10"/>
      <c r="O10" s="68"/>
      <c r="P10" s="3" t="s">
        <v>123</v>
      </c>
      <c r="W10" s="108"/>
    </row>
    <row r="11" spans="2:23">
      <c r="O11" s="68"/>
      <c r="P11" s="1" t="s">
        <v>16</v>
      </c>
      <c r="S11" s="229">
        <f>Drawing!L34</f>
        <v>74.792607188727231</v>
      </c>
      <c r="T11" s="1" t="s">
        <v>57</v>
      </c>
      <c r="W11" s="108"/>
    </row>
    <row r="12" spans="2:23">
      <c r="O12" s="68"/>
      <c r="P12" s="1" t="s">
        <v>17</v>
      </c>
      <c r="S12" s="119">
        <f>Drawing!P34</f>
        <v>800</v>
      </c>
      <c r="T12" s="1" t="s">
        <v>57</v>
      </c>
      <c r="W12" s="108"/>
    </row>
    <row r="13" spans="2:23">
      <c r="O13" s="68"/>
      <c r="P13" s="1" t="s">
        <v>18</v>
      </c>
      <c r="S13" s="120">
        <f>S12/S11</f>
        <v>10.696244322401109</v>
      </c>
      <c r="W13" s="108"/>
    </row>
    <row r="14" spans="2:23">
      <c r="O14" s="68"/>
      <c r="P14" s="1" t="s">
        <v>19</v>
      </c>
      <c r="S14" s="232">
        <f>IF(S13&gt;10,53.44*LN(S13)+28.65,EXP((2.0056*(LN(S13))^0.5+2.05075)))</f>
        <v>155.29706492326042</v>
      </c>
      <c r="T14" s="233"/>
      <c r="U14" s="233" t="s">
        <v>486</v>
      </c>
      <c r="V14" s="233"/>
      <c r="W14" s="234"/>
    </row>
    <row r="15" spans="2:23">
      <c r="O15" s="68"/>
      <c r="P15" s="1" t="s">
        <v>11</v>
      </c>
      <c r="S15" s="119">
        <f>Drawing!B34</f>
        <v>10</v>
      </c>
      <c r="W15" s="108"/>
    </row>
    <row r="16" spans="2:23">
      <c r="O16" s="68"/>
      <c r="P16" s="1" t="s">
        <v>20</v>
      </c>
      <c r="S16" s="120">
        <f>S15*S14</f>
        <v>1552.9706492326043</v>
      </c>
      <c r="W16" s="108"/>
    </row>
    <row r="17" spans="15:23">
      <c r="O17" s="68"/>
      <c r="S17" s="120"/>
      <c r="W17" s="108"/>
    </row>
    <row r="18" spans="15:23">
      <c r="O18" s="68"/>
      <c r="P18" s="1" t="s">
        <v>21</v>
      </c>
      <c r="S18" s="120">
        <f>7500*S16/1000000*24</f>
        <v>279.53471686186879</v>
      </c>
      <c r="T18" s="1" t="s">
        <v>13</v>
      </c>
      <c r="V18" s="1" t="s">
        <v>22</v>
      </c>
      <c r="W18" s="108"/>
    </row>
    <row r="19" spans="15:23">
      <c r="O19" s="68"/>
      <c r="P19" s="1" t="s">
        <v>21</v>
      </c>
      <c r="S19" s="120"/>
      <c r="T19" s="1" t="s">
        <v>23</v>
      </c>
      <c r="V19" s="1" t="s">
        <v>24</v>
      </c>
      <c r="W19" s="108"/>
    </row>
    <row r="20" spans="15:23">
      <c r="O20" s="68"/>
      <c r="P20" s="1" t="s">
        <v>25</v>
      </c>
      <c r="S20" s="120">
        <f>2500*S16*24/1000000</f>
        <v>93.178238953956267</v>
      </c>
      <c r="T20" s="1" t="s">
        <v>13</v>
      </c>
      <c r="W20" s="108"/>
    </row>
    <row r="21" spans="15:23">
      <c r="O21" s="68"/>
      <c r="P21" s="1" t="s">
        <v>127</v>
      </c>
      <c r="S21" s="120">
        <f>S18+S20</f>
        <v>372.71295581582507</v>
      </c>
      <c r="T21" s="1" t="s">
        <v>13</v>
      </c>
      <c r="W21" s="108"/>
    </row>
    <row r="22" spans="15:23">
      <c r="O22" s="68"/>
      <c r="P22" s="1" t="s">
        <v>127</v>
      </c>
      <c r="S22" s="127">
        <f>S21/'Prop Est Flash 1'!S25</f>
        <v>0.31731215131305213</v>
      </c>
      <c r="T22" s="1" t="s">
        <v>14</v>
      </c>
      <c r="W22" s="108"/>
    </row>
    <row r="23" spans="15:23" ht="15.75" thickBot="1">
      <c r="O23" s="113"/>
      <c r="P23" s="114"/>
      <c r="Q23" s="114"/>
      <c r="R23" s="114"/>
      <c r="S23" s="114"/>
      <c r="T23" s="114"/>
      <c r="U23" s="114"/>
      <c r="V23" s="114"/>
      <c r="W23" s="112"/>
    </row>
    <row r="24" spans="15:23" ht="15.75" thickBot="1">
      <c r="P24" s="3"/>
    </row>
    <row r="25" spans="15:23">
      <c r="O25" s="79"/>
      <c r="P25" s="80"/>
      <c r="Q25" s="80"/>
      <c r="R25" s="80"/>
      <c r="S25" s="80"/>
      <c r="T25" s="80"/>
      <c r="U25" s="80"/>
      <c r="V25" s="80"/>
      <c r="W25" s="106"/>
    </row>
    <row r="26" spans="15:23">
      <c r="O26" s="68"/>
      <c r="Q26" s="3" t="s">
        <v>271</v>
      </c>
      <c r="W26" s="108"/>
    </row>
    <row r="27" spans="15:23">
      <c r="O27" s="124"/>
      <c r="P27" s="9"/>
      <c r="Q27" s="9"/>
      <c r="R27" s="9"/>
      <c r="S27" s="9" t="s">
        <v>27</v>
      </c>
      <c r="T27" s="9"/>
      <c r="U27" s="9"/>
      <c r="V27" s="9"/>
      <c r="W27" s="122"/>
    </row>
    <row r="28" spans="15:23">
      <c r="O28" s="68"/>
      <c r="P28" s="1" t="s">
        <v>28</v>
      </c>
      <c r="R28" s="1" t="s">
        <v>29</v>
      </c>
      <c r="T28" s="1" t="s">
        <v>30</v>
      </c>
      <c r="V28" s="1" t="s">
        <v>31</v>
      </c>
      <c r="W28" s="108" t="s">
        <v>32</v>
      </c>
    </row>
    <row r="29" spans="15:23">
      <c r="O29" s="68"/>
      <c r="P29" s="1" t="s">
        <v>33</v>
      </c>
      <c r="R29" s="1" t="s">
        <v>34</v>
      </c>
      <c r="T29" s="1" t="s">
        <v>35</v>
      </c>
      <c r="V29" s="1" t="s">
        <v>36</v>
      </c>
      <c r="W29" s="123" t="s">
        <v>269</v>
      </c>
    </row>
    <row r="30" spans="15:23" ht="15.75" thickBot="1">
      <c r="O30" s="113"/>
      <c r="P30" s="114"/>
      <c r="Q30" s="114"/>
      <c r="R30" s="114"/>
      <c r="S30" s="114"/>
      <c r="T30" s="114"/>
      <c r="U30" s="114"/>
      <c r="V30" s="114"/>
      <c r="W30" s="112"/>
    </row>
    <row r="32" spans="15:23">
      <c r="R32" s="14"/>
      <c r="V32" s="1" t="s">
        <v>12</v>
      </c>
    </row>
    <row r="34" spans="2:24">
      <c r="R34" s="14"/>
    </row>
    <row r="38" spans="2:24">
      <c r="P38" s="3"/>
    </row>
    <row r="41" spans="2:24">
      <c r="C41" s="15" t="s">
        <v>26</v>
      </c>
    </row>
    <row r="42" spans="2:24">
      <c r="C42" s="15"/>
    </row>
    <row r="44" spans="2:24" ht="15.75" thickBot="1"/>
    <row r="45" spans="2:24">
      <c r="B45" s="105"/>
      <c r="C45" s="80"/>
      <c r="D45" s="80"/>
      <c r="E45" s="80"/>
      <c r="F45" s="80"/>
      <c r="G45" s="80"/>
      <c r="H45" s="80"/>
      <c r="I45" s="80"/>
      <c r="J45" s="80"/>
      <c r="K45" s="80"/>
      <c r="L45" s="106"/>
      <c r="N45" s="105"/>
      <c r="O45" s="80"/>
      <c r="P45" s="80"/>
      <c r="Q45" s="80"/>
      <c r="R45" s="80"/>
      <c r="S45" s="80"/>
      <c r="T45" s="80"/>
      <c r="U45" s="80"/>
      <c r="V45" s="80"/>
      <c r="W45" s="80"/>
      <c r="X45" s="106"/>
    </row>
    <row r="46" spans="2:24">
      <c r="B46" s="107"/>
      <c r="C46" s="1" t="s">
        <v>485</v>
      </c>
      <c r="L46" s="108"/>
      <c r="N46" s="107"/>
      <c r="O46" s="1" t="s">
        <v>482</v>
      </c>
      <c r="X46" s="108"/>
    </row>
    <row r="47" spans="2:24">
      <c r="B47" s="107"/>
      <c r="L47" s="108"/>
      <c r="N47" s="107"/>
      <c r="X47" s="108"/>
    </row>
    <row r="48" spans="2:24">
      <c r="B48" s="107"/>
      <c r="C48" s="1" t="s">
        <v>483</v>
      </c>
      <c r="L48" s="108"/>
      <c r="N48" s="107"/>
      <c r="O48" s="1" t="s">
        <v>481</v>
      </c>
      <c r="X48" s="108"/>
    </row>
    <row r="49" spans="2:24" ht="15.75" thickBot="1">
      <c r="B49" s="113"/>
      <c r="C49" s="114"/>
      <c r="D49" s="114"/>
      <c r="E49" s="114"/>
      <c r="F49" s="114"/>
      <c r="G49" s="114"/>
      <c r="H49" s="114"/>
      <c r="I49" s="114"/>
      <c r="J49" s="114"/>
      <c r="K49" s="114"/>
      <c r="L49" s="112"/>
      <c r="N49" s="113"/>
      <c r="O49" s="114"/>
      <c r="P49" s="114"/>
      <c r="Q49" s="114"/>
      <c r="R49" s="114"/>
      <c r="S49" s="114"/>
      <c r="T49" s="114"/>
      <c r="U49" s="114"/>
      <c r="V49" s="114"/>
      <c r="W49" s="114"/>
      <c r="X49" s="112"/>
    </row>
    <row r="50" spans="2:24">
      <c r="B50" s="79"/>
      <c r="C50" s="80" t="s">
        <v>270</v>
      </c>
      <c r="D50" s="80"/>
      <c r="E50" s="80"/>
      <c r="F50" s="80"/>
      <c r="G50" s="80"/>
      <c r="H50" s="80"/>
      <c r="I50" s="80"/>
      <c r="J50" s="80"/>
      <c r="K50" s="80"/>
      <c r="L50" s="106"/>
      <c r="N50" s="79"/>
      <c r="O50" s="80" t="s">
        <v>270</v>
      </c>
      <c r="P50" s="80"/>
      <c r="Q50" s="80"/>
      <c r="R50" s="80"/>
      <c r="S50" s="80"/>
      <c r="T50" s="80"/>
      <c r="U50" s="80"/>
      <c r="V50" s="80"/>
      <c r="W50" s="80"/>
      <c r="X50" s="106"/>
    </row>
    <row r="51" spans="2:24">
      <c r="B51" s="109"/>
      <c r="C51" s="2"/>
      <c r="D51" s="2"/>
      <c r="E51" s="2"/>
      <c r="F51" s="2"/>
      <c r="G51" s="2"/>
      <c r="H51" s="2" t="s">
        <v>257</v>
      </c>
      <c r="I51" s="2" t="s">
        <v>257</v>
      </c>
      <c r="J51" s="2" t="s">
        <v>259</v>
      </c>
      <c r="L51" s="108"/>
      <c r="N51" s="109"/>
      <c r="O51" s="2"/>
      <c r="P51" s="2"/>
      <c r="Q51" s="2"/>
      <c r="R51" s="2"/>
      <c r="S51" s="2"/>
      <c r="T51" s="2" t="s">
        <v>257</v>
      </c>
      <c r="U51" s="2" t="s">
        <v>257</v>
      </c>
      <c r="V51" s="2" t="s">
        <v>259</v>
      </c>
      <c r="X51" s="108"/>
    </row>
    <row r="52" spans="2:24">
      <c r="B52" s="68"/>
      <c r="C52" s="125" t="s">
        <v>242</v>
      </c>
      <c r="D52" s="125" t="s">
        <v>173</v>
      </c>
      <c r="E52" s="2"/>
      <c r="F52" s="125" t="s">
        <v>484</v>
      </c>
      <c r="G52" s="125" t="s">
        <v>256</v>
      </c>
      <c r="H52" s="125" t="s">
        <v>258</v>
      </c>
      <c r="I52" s="125" t="s">
        <v>173</v>
      </c>
      <c r="J52" s="126" t="s">
        <v>260</v>
      </c>
      <c r="L52" s="108"/>
      <c r="N52" s="68"/>
      <c r="O52" s="125" t="s">
        <v>242</v>
      </c>
      <c r="P52" s="125" t="s">
        <v>173</v>
      </c>
      <c r="Q52" s="2"/>
      <c r="R52" s="125" t="s">
        <v>255</v>
      </c>
      <c r="S52" s="125" t="s">
        <v>256</v>
      </c>
      <c r="T52" s="125" t="s">
        <v>258</v>
      </c>
      <c r="U52" s="125" t="s">
        <v>173</v>
      </c>
      <c r="V52" s="126" t="s">
        <v>260</v>
      </c>
      <c r="X52" s="108"/>
    </row>
    <row r="53" spans="2:24">
      <c r="B53" s="109"/>
      <c r="C53" s="2" t="s">
        <v>261</v>
      </c>
      <c r="D53" s="2" t="s">
        <v>263</v>
      </c>
      <c r="E53" s="2"/>
      <c r="F53" s="2"/>
      <c r="G53" s="2"/>
      <c r="H53" s="2"/>
      <c r="I53" s="2"/>
      <c r="J53" s="2"/>
      <c r="L53" s="108"/>
      <c r="N53" s="109"/>
      <c r="O53" s="2" t="s">
        <v>261</v>
      </c>
      <c r="P53" s="2" t="s">
        <v>263</v>
      </c>
      <c r="Q53" s="2"/>
      <c r="R53" s="2"/>
      <c r="S53" s="2"/>
      <c r="T53" s="2"/>
      <c r="U53" s="2"/>
      <c r="V53" s="2"/>
      <c r="X53" s="108"/>
    </row>
    <row r="54" spans="2:24">
      <c r="B54" s="68"/>
      <c r="C54" s="2" t="s">
        <v>262</v>
      </c>
      <c r="D54" s="2" t="s">
        <v>11</v>
      </c>
      <c r="E54" s="2"/>
      <c r="F54" s="2" t="s">
        <v>12</v>
      </c>
      <c r="G54" s="2"/>
      <c r="H54" s="2"/>
      <c r="I54" s="2"/>
      <c r="J54" s="2"/>
      <c r="L54" s="108"/>
      <c r="N54" s="68"/>
      <c r="O54" s="2" t="s">
        <v>262</v>
      </c>
      <c r="P54" s="2" t="s">
        <v>11</v>
      </c>
      <c r="Q54" s="2"/>
      <c r="R54" s="2" t="s">
        <v>12</v>
      </c>
      <c r="S54" s="2"/>
      <c r="T54" s="2"/>
      <c r="U54" s="2"/>
      <c r="V54" s="2"/>
      <c r="X54" s="108"/>
    </row>
    <row r="55" spans="2:24">
      <c r="B55" s="109"/>
      <c r="C55" s="2">
        <v>1.2</v>
      </c>
      <c r="D55" s="2">
        <v>15</v>
      </c>
      <c r="E55" s="2"/>
      <c r="F55" s="16">
        <f>(LN(C55))^0.5</f>
        <v>0.42699128421310262</v>
      </c>
      <c r="G55" s="16">
        <f>(LN(D55))^1</f>
        <v>2.7080502011022101</v>
      </c>
      <c r="H55" s="104">
        <f>F55*$D$87+$D$86</f>
        <v>2.907104557773994</v>
      </c>
      <c r="I55" s="104">
        <f>EXP((2.0056*(LN(C55))^0.5)+2.05075)</f>
        <v>18.304075127465385</v>
      </c>
      <c r="J55" s="104">
        <f>I55-D55</f>
        <v>3.304075127465385</v>
      </c>
      <c r="K55"/>
      <c r="L55" s="110"/>
      <c r="N55" s="109"/>
      <c r="O55" s="225">
        <v>10</v>
      </c>
      <c r="P55" s="225">
        <v>155</v>
      </c>
      <c r="Q55" s="2"/>
      <c r="R55" s="16">
        <f>LN(O55)</f>
        <v>2.3025850929940459</v>
      </c>
      <c r="S55" s="16">
        <f>(LN(P55))^1</f>
        <v>5.0434251169192468</v>
      </c>
      <c r="T55" s="104">
        <f>LN(U55)</f>
        <v>5.0219058578082123</v>
      </c>
      <c r="U55" s="104">
        <f>53.44*LN(O55)+28.65</f>
        <v>151.70014736960181</v>
      </c>
      <c r="V55" s="104">
        <f>U55-P55</f>
        <v>-3.2998526303981919</v>
      </c>
      <c r="W55"/>
      <c r="X55" s="110"/>
    </row>
    <row r="56" spans="2:24">
      <c r="B56" s="109"/>
      <c r="C56" s="2">
        <v>1.5</v>
      </c>
      <c r="D56" s="2">
        <v>28</v>
      </c>
      <c r="E56" s="2"/>
      <c r="F56" s="16">
        <f t="shared" ref="F56:F67" si="0">(LN(C56))^0.5</f>
        <v>0.63676142165505312</v>
      </c>
      <c r="G56" s="16">
        <f t="shared" ref="G56:G66" si="1">(LN(D56))^1</f>
        <v>3.3322045101752038</v>
      </c>
      <c r="H56" s="104">
        <f t="shared" ref="H56:H66" si="2">F56*$D$87+$D$86</f>
        <v>3.3278115449860559</v>
      </c>
      <c r="I56" s="104">
        <f t="shared" ref="I56:I66" si="3">EXP((2.0056*(LN(C56))^0.5)+2.05075)</f>
        <v>27.878023974077767</v>
      </c>
      <c r="J56" s="104">
        <f t="shared" ref="J56:J66" si="4">I56-D56</f>
        <v>-0.12197602592223333</v>
      </c>
      <c r="K56"/>
      <c r="L56" s="110"/>
      <c r="N56" s="109"/>
      <c r="O56" s="225">
        <v>15</v>
      </c>
      <c r="P56" s="225">
        <v>175</v>
      </c>
      <c r="Q56" s="2"/>
      <c r="R56" s="16">
        <f>LN(O56)</f>
        <v>2.7080502011022101</v>
      </c>
      <c r="S56" s="16">
        <f>(LN(P56))^1</f>
        <v>5.1647859739235145</v>
      </c>
      <c r="T56" s="104">
        <f>LN(U56)</f>
        <v>5.1554176723691203</v>
      </c>
      <c r="U56" s="104">
        <f t="shared" ref="U56:U59" si="5">53.44*LN(O56)+28.65</f>
        <v>173.36820274690211</v>
      </c>
      <c r="V56" s="104">
        <f>U56-P56</f>
        <v>-1.6317972530978864</v>
      </c>
      <c r="W56"/>
      <c r="X56" s="110"/>
    </row>
    <row r="57" spans="2:24">
      <c r="B57" s="68"/>
      <c r="C57" s="2">
        <v>2</v>
      </c>
      <c r="D57" s="2">
        <v>45</v>
      </c>
      <c r="E57" s="2"/>
      <c r="F57" s="16">
        <f t="shared" si="0"/>
        <v>0.83255461115769769</v>
      </c>
      <c r="G57" s="16">
        <f t="shared" si="1"/>
        <v>3.8066624897703196</v>
      </c>
      <c r="H57" s="104">
        <f t="shared" si="2"/>
        <v>3.720486898479078</v>
      </c>
      <c r="I57" s="104">
        <f t="shared" si="3"/>
        <v>41.285920263990882</v>
      </c>
      <c r="J57" s="104">
        <f t="shared" si="4"/>
        <v>-3.7140797360091184</v>
      </c>
      <c r="K57"/>
      <c r="L57" s="110"/>
      <c r="N57" s="109"/>
      <c r="O57" s="225">
        <v>20</v>
      </c>
      <c r="P57" s="225">
        <v>180</v>
      </c>
      <c r="R57" s="16">
        <f t="shared" ref="R57:R59" si="6">LN(O57)</f>
        <v>2.9957322735539909</v>
      </c>
      <c r="S57" s="16">
        <f t="shared" ref="S57:S59" si="7">(LN(P57))^1</f>
        <v>5.1929568508902104</v>
      </c>
      <c r="T57" s="104">
        <f>LN(U57)</f>
        <v>5.2403806465467202</v>
      </c>
      <c r="U57" s="104">
        <f t="shared" si="5"/>
        <v>188.74193269872526</v>
      </c>
      <c r="V57" s="1">
        <f>U57-P57</f>
        <v>8.7419326987252646</v>
      </c>
      <c r="W57"/>
      <c r="X57" s="110"/>
    </row>
    <row r="58" spans="2:24">
      <c r="B58" s="109"/>
      <c r="C58" s="2">
        <v>2.5</v>
      </c>
      <c r="D58" s="2">
        <v>58</v>
      </c>
      <c r="E58" s="2"/>
      <c r="F58" s="16">
        <f t="shared" si="0"/>
        <v>0.95723076208099112</v>
      </c>
      <c r="G58" s="16">
        <f t="shared" si="1"/>
        <v>4.0604430105464191</v>
      </c>
      <c r="H58" s="104">
        <f t="shared" si="2"/>
        <v>3.970532631736273</v>
      </c>
      <c r="I58" s="104">
        <f t="shared" si="3"/>
        <v>53.014847531829325</v>
      </c>
      <c r="J58" s="104">
        <f t="shared" si="4"/>
        <v>-4.9851524681706749</v>
      </c>
      <c r="K58"/>
      <c r="L58" s="110"/>
      <c r="N58" s="109"/>
      <c r="O58" s="225">
        <v>30</v>
      </c>
      <c r="P58" s="225">
        <v>210</v>
      </c>
      <c r="R58" s="16">
        <f t="shared" si="6"/>
        <v>3.4011973816621555</v>
      </c>
      <c r="S58" s="16">
        <f t="shared" si="7"/>
        <v>5.3471075307174685</v>
      </c>
      <c r="T58" s="104">
        <f>LN(U58)</f>
        <v>5.3490579515810301</v>
      </c>
      <c r="U58" s="104">
        <f t="shared" si="5"/>
        <v>210.4099880760256</v>
      </c>
      <c r="V58" s="1">
        <f>U58-P58</f>
        <v>0.4099880760255985</v>
      </c>
      <c r="W58"/>
      <c r="X58" s="110"/>
    </row>
    <row r="59" spans="2:24">
      <c r="B59" s="68"/>
      <c r="C59" s="2">
        <v>3</v>
      </c>
      <c r="D59" s="2">
        <v>67</v>
      </c>
      <c r="E59" s="2"/>
      <c r="F59" s="16">
        <f t="shared" si="0"/>
        <v>1.0481470739682051</v>
      </c>
      <c r="G59" s="16">
        <f t="shared" si="1"/>
        <v>4.2046926193909657</v>
      </c>
      <c r="H59" s="104">
        <f t="shared" si="2"/>
        <v>4.1528709193921438</v>
      </c>
      <c r="I59" s="104">
        <f t="shared" si="3"/>
        <v>63.619102024646637</v>
      </c>
      <c r="J59" s="104">
        <f t="shared" si="4"/>
        <v>-3.3808979753533634</v>
      </c>
      <c r="K59"/>
      <c r="L59" s="110"/>
      <c r="N59" s="68"/>
      <c r="O59" s="225">
        <v>40</v>
      </c>
      <c r="P59" s="225">
        <v>230</v>
      </c>
      <c r="R59" s="16">
        <f t="shared" si="6"/>
        <v>3.6888794541139363</v>
      </c>
      <c r="S59" s="16">
        <f t="shared" si="7"/>
        <v>5.4380793089231956</v>
      </c>
      <c r="T59" s="104">
        <f>LN(U59)</f>
        <v>5.4195775411787626</v>
      </c>
      <c r="U59" s="104">
        <f t="shared" si="5"/>
        <v>225.78371802784875</v>
      </c>
      <c r="V59" s="1">
        <f>U59-P59</f>
        <v>-4.2162819721512506</v>
      </c>
      <c r="W59"/>
      <c r="X59" s="110"/>
    </row>
    <row r="60" spans="2:24">
      <c r="B60" s="109"/>
      <c r="C60" s="2">
        <v>4</v>
      </c>
      <c r="D60" s="2">
        <v>90</v>
      </c>
      <c r="E60" s="2"/>
      <c r="F60" s="16">
        <f t="shared" si="0"/>
        <v>1.1774100225154747</v>
      </c>
      <c r="G60" s="16">
        <f t="shared" si="1"/>
        <v>4.499809670330265</v>
      </c>
      <c r="H60" s="104">
        <f t="shared" si="2"/>
        <v>4.4121157590277118</v>
      </c>
      <c r="I60" s="104">
        <f t="shared" si="3"/>
        <v>82.447649561388317</v>
      </c>
      <c r="J60" s="104">
        <f t="shared" si="4"/>
        <v>-7.5523504386116826</v>
      </c>
      <c r="K60"/>
      <c r="L60" s="110"/>
      <c r="N60" s="68"/>
      <c r="O60" s="225"/>
      <c r="P60" s="225"/>
      <c r="R60" s="16"/>
      <c r="S60" s="16"/>
      <c r="T60" s="104"/>
      <c r="U60" s="104"/>
      <c r="W60"/>
      <c r="X60" s="110"/>
    </row>
    <row r="61" spans="2:24">
      <c r="B61" s="109"/>
      <c r="C61" s="2">
        <v>5</v>
      </c>
      <c r="D61" s="2">
        <v>105</v>
      </c>
      <c r="E61" s="2"/>
      <c r="F61" s="16">
        <f t="shared" si="0"/>
        <v>1.2686362411795196</v>
      </c>
      <c r="G61" s="16">
        <f t="shared" si="1"/>
        <v>4.6539603501575231</v>
      </c>
      <c r="H61" s="104">
        <f t="shared" si="2"/>
        <v>4.5950755838956336</v>
      </c>
      <c r="I61" s="104">
        <f t="shared" si="3"/>
        <v>99.000692524752523</v>
      </c>
      <c r="J61" s="104">
        <f t="shared" si="4"/>
        <v>-5.9993074752474769</v>
      </c>
      <c r="K61"/>
      <c r="L61" s="110"/>
      <c r="N61" s="109"/>
      <c r="W61"/>
      <c r="X61" s="110"/>
    </row>
    <row r="62" spans="2:24">
      <c r="B62" s="107"/>
      <c r="C62" s="2">
        <v>6</v>
      </c>
      <c r="D62" s="2">
        <v>120</v>
      </c>
      <c r="E62" s="2"/>
      <c r="F62" s="16">
        <f t="shared" si="0"/>
        <v>1.3385661990458504</v>
      </c>
      <c r="G62" s="16">
        <f t="shared" si="1"/>
        <v>4.7874917427820458</v>
      </c>
      <c r="H62" s="104">
        <f t="shared" si="2"/>
        <v>4.7353244403276022</v>
      </c>
      <c r="I62" s="104">
        <f t="shared" si="3"/>
        <v>113.90654925071557</v>
      </c>
      <c r="J62" s="104">
        <f t="shared" si="4"/>
        <v>-6.093450749284429</v>
      </c>
      <c r="K62"/>
      <c r="L62" s="110"/>
      <c r="N62" s="68"/>
      <c r="W62"/>
      <c r="X62" s="110"/>
    </row>
    <row r="63" spans="2:24">
      <c r="B63" s="68"/>
      <c r="C63" s="2">
        <v>7</v>
      </c>
      <c r="D63" s="2">
        <v>130</v>
      </c>
      <c r="E63" s="2"/>
      <c r="F63" s="16">
        <f t="shared" si="0"/>
        <v>1.3949588341794583</v>
      </c>
      <c r="G63" s="16">
        <f t="shared" si="1"/>
        <v>4.8675344504555822</v>
      </c>
      <c r="H63" s="104">
        <f t="shared" si="2"/>
        <v>4.8484233585879508</v>
      </c>
      <c r="I63" s="104">
        <f t="shared" si="3"/>
        <v>127.54630024174016</v>
      </c>
      <c r="J63" s="104">
        <f t="shared" si="4"/>
        <v>-2.4536997582598445</v>
      </c>
      <c r="K63"/>
      <c r="L63" s="110"/>
      <c r="N63" s="109"/>
      <c r="W63"/>
      <c r="X63" s="110"/>
    </row>
    <row r="64" spans="2:24">
      <c r="B64" s="68"/>
      <c r="C64" s="2">
        <v>8</v>
      </c>
      <c r="D64" s="2">
        <v>140</v>
      </c>
      <c r="E64" s="2"/>
      <c r="F64" s="16">
        <f t="shared" si="0"/>
        <v>1.442026886600883</v>
      </c>
      <c r="G64" s="16">
        <f t="shared" si="1"/>
        <v>4.9416424226093039</v>
      </c>
      <c r="H64" s="104">
        <f t="shared" si="2"/>
        <v>4.9428212493918151</v>
      </c>
      <c r="I64" s="104">
        <f t="shared" si="3"/>
        <v>140.17324526626982</v>
      </c>
      <c r="J64" s="104">
        <f t="shared" si="4"/>
        <v>0.17324526626981651</v>
      </c>
      <c r="K64"/>
      <c r="L64" s="110"/>
      <c r="N64" s="109"/>
      <c r="O64" s="225"/>
      <c r="P64" s="225"/>
      <c r="W64"/>
      <c r="X64" s="110"/>
    </row>
    <row r="65" spans="2:24">
      <c r="B65" s="68"/>
      <c r="C65" s="2">
        <v>9</v>
      </c>
      <c r="D65" s="2">
        <v>150</v>
      </c>
      <c r="E65" s="2"/>
      <c r="F65" s="16">
        <f t="shared" si="0"/>
        <v>1.4823038073675112</v>
      </c>
      <c r="G65" s="16">
        <f t="shared" si="1"/>
        <v>5.0106352940962555</v>
      </c>
      <c r="H65" s="104">
        <f t="shared" si="2"/>
        <v>5.0235991055563805</v>
      </c>
      <c r="I65" s="104">
        <f t="shared" si="3"/>
        <v>151.96625901738895</v>
      </c>
      <c r="J65" s="104">
        <f t="shared" si="4"/>
        <v>1.9662590173889498</v>
      </c>
      <c r="K65" s="102"/>
      <c r="L65" s="111"/>
      <c r="N65" s="107"/>
      <c r="W65"/>
      <c r="X65" s="110"/>
    </row>
    <row r="66" spans="2:24">
      <c r="B66" s="68"/>
      <c r="C66" s="2">
        <v>10</v>
      </c>
      <c r="D66" s="2">
        <v>155</v>
      </c>
      <c r="E66" s="2"/>
      <c r="F66" s="16">
        <f t="shared" si="0"/>
        <v>1.5174271293851465</v>
      </c>
      <c r="G66" s="16">
        <f t="shared" si="1"/>
        <v>5.0434251169192468</v>
      </c>
      <c r="H66" s="104">
        <f t="shared" si="2"/>
        <v>5.0940411006235173</v>
      </c>
      <c r="I66" s="104">
        <f t="shared" si="3"/>
        <v>163.05732901103767</v>
      </c>
      <c r="J66" s="104">
        <f t="shared" si="4"/>
        <v>8.0573290110376661</v>
      </c>
      <c r="K66"/>
      <c r="L66" s="110"/>
      <c r="N66" s="68"/>
      <c r="W66"/>
      <c r="X66" s="110"/>
    </row>
    <row r="67" spans="2:24">
      <c r="B67" s="109"/>
      <c r="C67" s="225">
        <v>15</v>
      </c>
      <c r="D67" s="225">
        <v>175</v>
      </c>
      <c r="E67" s="2"/>
      <c r="F67" s="16">
        <f t="shared" si="0"/>
        <v>1.6456154475156735</v>
      </c>
      <c r="G67" s="16">
        <f>(LN(D67))^1</f>
        <v>5.1647859739235145</v>
      </c>
      <c r="H67" s="104">
        <f>LN(I67)</f>
        <v>5.1554176723691203</v>
      </c>
      <c r="I67" s="104">
        <f t="shared" ref="I67" si="8">53.44*LN(C67)+28.65</f>
        <v>173.36820274690211</v>
      </c>
      <c r="J67" s="104">
        <f>I67-D67</f>
        <v>-1.6317972530978864</v>
      </c>
      <c r="K67"/>
      <c r="L67" s="110"/>
      <c r="N67" s="68"/>
      <c r="W67"/>
      <c r="X67" s="110"/>
    </row>
    <row r="68" spans="2:24">
      <c r="B68" s="109"/>
      <c r="C68" s="2"/>
      <c r="D68" s="2"/>
      <c r="E68" s="2"/>
      <c r="F68" s="16"/>
      <c r="G68" s="16"/>
      <c r="H68" s="103"/>
      <c r="I68" s="103"/>
      <c r="J68" s="103" t="s">
        <v>12</v>
      </c>
      <c r="K68" s="102"/>
      <c r="L68" s="111"/>
      <c r="N68" s="68"/>
      <c r="W68" s="102"/>
      <c r="X68" s="111"/>
    </row>
    <row r="69" spans="2:24">
      <c r="B69" s="109"/>
      <c r="H69"/>
      <c r="I69"/>
      <c r="J69"/>
      <c r="K69"/>
      <c r="L69" s="110"/>
      <c r="N69" s="68"/>
      <c r="W69"/>
      <c r="X69" s="110"/>
    </row>
    <row r="70" spans="2:24">
      <c r="B70" s="109"/>
      <c r="C70" t="s">
        <v>149</v>
      </c>
      <c r="D70"/>
      <c r="E70"/>
      <c r="F70"/>
      <c r="G70"/>
      <c r="H70"/>
      <c r="I70"/>
      <c r="J70"/>
      <c r="K70"/>
      <c r="L70" s="110"/>
      <c r="N70" s="109"/>
      <c r="O70" t="s">
        <v>149</v>
      </c>
      <c r="P70"/>
      <c r="Q70"/>
      <c r="R70"/>
      <c r="S70"/>
      <c r="T70"/>
      <c r="U70"/>
      <c r="V70"/>
      <c r="W70"/>
      <c r="X70" s="110"/>
    </row>
    <row r="71" spans="2:24" ht="15.75" thickBot="1">
      <c r="B71" s="109"/>
      <c r="C71"/>
      <c r="D71"/>
      <c r="E71"/>
      <c r="F71"/>
      <c r="G71"/>
      <c r="H71"/>
      <c r="I71"/>
      <c r="J71"/>
      <c r="K71"/>
      <c r="L71" s="110"/>
      <c r="N71" s="109"/>
      <c r="O71"/>
      <c r="P71"/>
      <c r="Q71"/>
      <c r="R71"/>
      <c r="S71"/>
      <c r="T71"/>
      <c r="U71"/>
      <c r="V71"/>
      <c r="W71"/>
      <c r="X71" s="110"/>
    </row>
    <row r="72" spans="2:24">
      <c r="B72" s="109"/>
      <c r="C72" s="45" t="s">
        <v>150</v>
      </c>
      <c r="D72" s="45"/>
      <c r="E72"/>
      <c r="F72"/>
      <c r="G72"/>
      <c r="H72"/>
      <c r="I72"/>
      <c r="J72"/>
      <c r="K72"/>
      <c r="L72" s="110"/>
      <c r="N72" s="109"/>
      <c r="O72" s="45" t="s">
        <v>150</v>
      </c>
      <c r="P72" s="45"/>
      <c r="Q72"/>
      <c r="R72"/>
      <c r="S72"/>
      <c r="T72"/>
      <c r="U72"/>
      <c r="V72"/>
      <c r="W72"/>
      <c r="X72" s="110"/>
    </row>
    <row r="73" spans="2:24">
      <c r="B73" s="109"/>
      <c r="C73" t="s">
        <v>151</v>
      </c>
      <c r="D73">
        <v>0.99168674996030259</v>
      </c>
      <c r="E73"/>
      <c r="F73"/>
      <c r="G73"/>
      <c r="H73"/>
      <c r="I73"/>
      <c r="J73"/>
      <c r="K73"/>
      <c r="L73" s="108"/>
      <c r="N73" s="109"/>
      <c r="O73" t="s">
        <v>151</v>
      </c>
      <c r="P73">
        <v>0.98468293351635372</v>
      </c>
      <c r="Q73"/>
      <c r="R73"/>
      <c r="S73"/>
      <c r="T73"/>
      <c r="U73"/>
      <c r="V73"/>
      <c r="W73"/>
      <c r="X73" s="108"/>
    </row>
    <row r="74" spans="2:24">
      <c r="B74" s="109"/>
      <c r="C74" t="s">
        <v>152</v>
      </c>
      <c r="D74">
        <v>0.98344261004682765</v>
      </c>
      <c r="E74"/>
      <c r="F74"/>
      <c r="G74"/>
      <c r="H74"/>
      <c r="I74"/>
      <c r="J74"/>
      <c r="K74"/>
      <c r="L74" s="108"/>
      <c r="N74" s="109"/>
      <c r="O74" t="s">
        <v>152</v>
      </c>
      <c r="P74">
        <v>0.96960047955837192</v>
      </c>
      <c r="Q74"/>
      <c r="R74"/>
      <c r="S74"/>
      <c r="T74"/>
      <c r="U74"/>
      <c r="V74"/>
      <c r="W74"/>
      <c r="X74" s="108"/>
    </row>
    <row r="75" spans="2:24">
      <c r="B75" s="109"/>
      <c r="C75" t="s">
        <v>153</v>
      </c>
      <c r="D75">
        <v>0.98193739277835757</v>
      </c>
      <c r="E75"/>
      <c r="F75"/>
      <c r="G75"/>
      <c r="H75"/>
      <c r="I75"/>
      <c r="J75"/>
      <c r="K75"/>
      <c r="L75" s="108"/>
      <c r="N75" s="109"/>
      <c r="O75" t="s">
        <v>153</v>
      </c>
      <c r="P75">
        <v>0.95946730607782926</v>
      </c>
      <c r="Q75"/>
      <c r="R75"/>
      <c r="S75"/>
      <c r="T75"/>
      <c r="U75"/>
      <c r="V75"/>
      <c r="W75"/>
      <c r="X75" s="108"/>
    </row>
    <row r="76" spans="2:24">
      <c r="B76" s="109"/>
      <c r="C76" t="s">
        <v>154</v>
      </c>
      <c r="D76">
        <v>9.9789604650200509E-2</v>
      </c>
      <c r="E76"/>
      <c r="F76"/>
      <c r="G76"/>
      <c r="H76"/>
      <c r="I76"/>
      <c r="J76"/>
      <c r="K76"/>
      <c r="L76" s="108"/>
      <c r="N76" s="109"/>
      <c r="O76" t="s">
        <v>154</v>
      </c>
      <c r="P76">
        <v>5.9977300586077105</v>
      </c>
      <c r="Q76"/>
      <c r="R76"/>
      <c r="S76"/>
      <c r="T76"/>
      <c r="U76"/>
      <c r="V76"/>
      <c r="W76"/>
      <c r="X76" s="108"/>
    </row>
    <row r="77" spans="2:24" ht="15.75" thickBot="1">
      <c r="B77" s="109"/>
      <c r="C77" s="43" t="s">
        <v>155</v>
      </c>
      <c r="D77" s="43">
        <v>13</v>
      </c>
      <c r="E77"/>
      <c r="F77"/>
      <c r="G77"/>
      <c r="H77"/>
      <c r="I77"/>
      <c r="J77"/>
      <c r="K77"/>
      <c r="L77" s="108"/>
      <c r="N77" s="109"/>
      <c r="O77" s="43" t="s">
        <v>155</v>
      </c>
      <c r="P77" s="43">
        <v>5</v>
      </c>
      <c r="Q77"/>
      <c r="R77"/>
      <c r="S77"/>
      <c r="T77"/>
      <c r="U77"/>
      <c r="V77"/>
      <c r="W77"/>
      <c r="X77" s="108"/>
    </row>
    <row r="78" spans="2:24">
      <c r="B78" s="109"/>
      <c r="C78"/>
      <c r="D78"/>
      <c r="E78"/>
      <c r="F78"/>
      <c r="G78"/>
      <c r="H78"/>
      <c r="I78"/>
      <c r="J78"/>
      <c r="K78"/>
      <c r="L78" s="108"/>
      <c r="N78" s="109"/>
      <c r="O78"/>
      <c r="P78"/>
      <c r="Q78"/>
      <c r="R78"/>
      <c r="S78"/>
      <c r="T78"/>
      <c r="U78"/>
      <c r="V78"/>
      <c r="W78"/>
      <c r="X78" s="108"/>
    </row>
    <row r="79" spans="2:24" ht="15.75" thickBot="1">
      <c r="B79" s="109"/>
      <c r="C79" t="s">
        <v>156</v>
      </c>
      <c r="D79"/>
      <c r="E79"/>
      <c r="F79"/>
      <c r="G79"/>
      <c r="H79"/>
      <c r="I79"/>
      <c r="J79"/>
      <c r="K79"/>
      <c r="L79" s="108"/>
      <c r="N79" s="109"/>
      <c r="O79" t="s">
        <v>156</v>
      </c>
      <c r="P79"/>
      <c r="Q79"/>
      <c r="R79"/>
      <c r="S79"/>
      <c r="T79"/>
      <c r="U79"/>
      <c r="V79"/>
      <c r="W79"/>
      <c r="X79" s="108"/>
    </row>
    <row r="80" spans="2:24">
      <c r="B80" s="109"/>
      <c r="C80" s="44"/>
      <c r="D80" s="44" t="s">
        <v>160</v>
      </c>
      <c r="E80" s="44" t="s">
        <v>161</v>
      </c>
      <c r="F80" s="44" t="s">
        <v>162</v>
      </c>
      <c r="G80" s="44" t="s">
        <v>58</v>
      </c>
      <c r="H80" s="44" t="s">
        <v>163</v>
      </c>
      <c r="I80"/>
      <c r="J80"/>
      <c r="K80"/>
      <c r="L80" s="108"/>
      <c r="N80" s="109"/>
      <c r="O80" s="44"/>
      <c r="P80" s="44" t="s">
        <v>160</v>
      </c>
      <c r="Q80" s="44" t="s">
        <v>161</v>
      </c>
      <c r="R80" s="44" t="s">
        <v>162</v>
      </c>
      <c r="S80" s="44" t="s">
        <v>58</v>
      </c>
      <c r="T80" s="44" t="s">
        <v>163</v>
      </c>
      <c r="U80"/>
      <c r="V80"/>
      <c r="W80"/>
      <c r="X80" s="108"/>
    </row>
    <row r="81" spans="2:24">
      <c r="B81" s="109"/>
      <c r="C81" t="s">
        <v>157</v>
      </c>
      <c r="D81">
        <v>1</v>
      </c>
      <c r="E81">
        <v>6.5060954909864632</v>
      </c>
      <c r="F81">
        <v>6.5060954909864632</v>
      </c>
      <c r="G81">
        <v>653.35591787777219</v>
      </c>
      <c r="H81">
        <v>3.7923354040240987E-11</v>
      </c>
      <c r="I81"/>
      <c r="J81"/>
      <c r="K81"/>
      <c r="L81" s="108"/>
      <c r="N81" s="109"/>
      <c r="O81" t="s">
        <v>157</v>
      </c>
      <c r="P81">
        <v>1</v>
      </c>
      <c r="Q81">
        <v>3442.0817024322205</v>
      </c>
      <c r="R81">
        <v>3442.0817024322205</v>
      </c>
      <c r="S81">
        <v>95.685767289009945</v>
      </c>
      <c r="T81">
        <v>2.2703714455962463E-3</v>
      </c>
      <c r="U81"/>
      <c r="V81"/>
      <c r="W81"/>
      <c r="X81" s="108"/>
    </row>
    <row r="82" spans="2:24">
      <c r="B82" s="109"/>
      <c r="C82" t="s">
        <v>158</v>
      </c>
      <c r="D82">
        <v>11</v>
      </c>
      <c r="E82">
        <v>0.10953761715867652</v>
      </c>
      <c r="F82">
        <v>9.9579651962433194E-3</v>
      </c>
      <c r="G82"/>
      <c r="H82"/>
      <c r="I82"/>
      <c r="J82"/>
      <c r="K82"/>
      <c r="L82" s="108"/>
      <c r="N82" s="109"/>
      <c r="O82" t="s">
        <v>158</v>
      </c>
      <c r="P82">
        <v>3</v>
      </c>
      <c r="Q82">
        <v>107.91829756777935</v>
      </c>
      <c r="R82">
        <v>35.972765855926447</v>
      </c>
      <c r="S82"/>
      <c r="T82"/>
      <c r="U82"/>
      <c r="V82"/>
      <c r="W82"/>
      <c r="X82" s="108"/>
    </row>
    <row r="83" spans="2:24" ht="15.75" thickBot="1">
      <c r="B83" s="109"/>
      <c r="C83" s="43" t="s">
        <v>135</v>
      </c>
      <c r="D83" s="43">
        <v>12</v>
      </c>
      <c r="E83" s="43">
        <v>6.6156331081451398</v>
      </c>
      <c r="F83" s="43"/>
      <c r="G83" s="43"/>
      <c r="H83" s="43"/>
      <c r="I83"/>
      <c r="J83"/>
      <c r="K83"/>
      <c r="L83" s="108"/>
      <c r="N83" s="109"/>
      <c r="O83" s="43" t="s">
        <v>135</v>
      </c>
      <c r="P83" s="43">
        <v>4</v>
      </c>
      <c r="Q83" s="43">
        <v>3550</v>
      </c>
      <c r="R83" s="43"/>
      <c r="S83" s="43"/>
      <c r="T83" s="43"/>
      <c r="U83"/>
      <c r="V83"/>
      <c r="W83"/>
      <c r="X83" s="108"/>
    </row>
    <row r="84" spans="2:24" ht="15.75" thickBot="1">
      <c r="B84" s="68"/>
      <c r="C84"/>
      <c r="D84"/>
      <c r="E84"/>
      <c r="F84"/>
      <c r="G84"/>
      <c r="H84"/>
      <c r="I84"/>
      <c r="J84"/>
      <c r="K84"/>
      <c r="L84" s="108"/>
      <c r="N84" s="68"/>
      <c r="O84"/>
      <c r="P84"/>
      <c r="Q84"/>
      <c r="R84"/>
      <c r="S84"/>
      <c r="T84"/>
      <c r="U84"/>
      <c r="V84"/>
      <c r="W84"/>
      <c r="X84" s="108"/>
    </row>
    <row r="85" spans="2:24">
      <c r="B85" s="109"/>
      <c r="C85" s="44"/>
      <c r="D85" s="44" t="s">
        <v>164</v>
      </c>
      <c r="E85" s="44" t="s">
        <v>154</v>
      </c>
      <c r="F85" s="44" t="s">
        <v>165</v>
      </c>
      <c r="G85" s="44" t="s">
        <v>166</v>
      </c>
      <c r="H85" s="44" t="s">
        <v>167</v>
      </c>
      <c r="I85" s="44" t="s">
        <v>168</v>
      </c>
      <c r="J85" s="44" t="s">
        <v>169</v>
      </c>
      <c r="K85" s="44" t="s">
        <v>170</v>
      </c>
      <c r="L85" s="108"/>
      <c r="N85" s="109"/>
      <c r="O85" s="44"/>
      <c r="P85" s="44" t="s">
        <v>164</v>
      </c>
      <c r="Q85" s="44" t="s">
        <v>154</v>
      </c>
      <c r="R85" s="44" t="s">
        <v>165</v>
      </c>
      <c r="S85" s="44" t="s">
        <v>166</v>
      </c>
      <c r="T85" s="44" t="s">
        <v>167</v>
      </c>
      <c r="U85" s="44" t="s">
        <v>168</v>
      </c>
      <c r="V85" s="44" t="s">
        <v>169</v>
      </c>
      <c r="W85" s="44" t="s">
        <v>170</v>
      </c>
      <c r="X85" s="108"/>
    </row>
    <row r="86" spans="2:24">
      <c r="B86" s="68"/>
      <c r="C86" t="s">
        <v>159</v>
      </c>
      <c r="D86">
        <v>2.0507471232139172</v>
      </c>
      <c r="E86">
        <v>9.5643209709259158E-2</v>
      </c>
      <c r="F86">
        <v>21.441638454500609</v>
      </c>
      <c r="G86">
        <v>2.5297003953586676E-10</v>
      </c>
      <c r="H86">
        <v>1.8402378379803053</v>
      </c>
      <c r="I86">
        <v>2.2612564084475291</v>
      </c>
      <c r="J86">
        <v>1.8402378379803053</v>
      </c>
      <c r="K86">
        <v>2.2612564084475291</v>
      </c>
      <c r="L86" s="108"/>
      <c r="N86" s="68"/>
      <c r="O86" t="s">
        <v>159</v>
      </c>
      <c r="P86">
        <v>28.650104763915294</v>
      </c>
      <c r="Q86">
        <v>16.711386131035859</v>
      </c>
      <c r="R86">
        <v>1.7144062460927298</v>
      </c>
      <c r="S86">
        <v>0.18496602440647117</v>
      </c>
      <c r="T86">
        <v>-24.532984284969189</v>
      </c>
      <c r="U86">
        <v>81.833193812799777</v>
      </c>
      <c r="V86">
        <v>-24.532984284969189</v>
      </c>
      <c r="W86">
        <v>81.833193812799777</v>
      </c>
      <c r="X86" s="108"/>
    </row>
    <row r="87" spans="2:24" ht="15.75" thickBot="1">
      <c r="B87" s="109"/>
      <c r="C87" s="43" t="s">
        <v>171</v>
      </c>
      <c r="D87" s="43">
        <v>2.0055618609130357</v>
      </c>
      <c r="E87" s="43">
        <v>7.8462320411480921E-2</v>
      </c>
      <c r="F87" s="43">
        <v>25.560827801105585</v>
      </c>
      <c r="G87" s="43">
        <v>3.7923354040240987E-11</v>
      </c>
      <c r="H87" s="43">
        <v>1.8328674580610109</v>
      </c>
      <c r="I87" s="43">
        <v>2.1782562637650607</v>
      </c>
      <c r="J87" s="43">
        <v>1.8328674580610109</v>
      </c>
      <c r="K87" s="43">
        <v>2.1782562637650607</v>
      </c>
      <c r="L87" s="108"/>
      <c r="N87" s="109"/>
      <c r="O87" s="43" t="s">
        <v>171</v>
      </c>
      <c r="P87" s="43">
        <v>53.439701072745393</v>
      </c>
      <c r="Q87" s="43">
        <v>5.4631150710176408</v>
      </c>
      <c r="R87" s="43">
        <v>9.7819102065501475</v>
      </c>
      <c r="S87" s="43">
        <v>2.2703714455962463E-3</v>
      </c>
      <c r="T87" s="43">
        <v>36.053630699645552</v>
      </c>
      <c r="U87" s="43">
        <v>70.825771445845234</v>
      </c>
      <c r="V87" s="43">
        <v>36.053630699645552</v>
      </c>
      <c r="W87" s="43">
        <v>70.825771445845234</v>
      </c>
      <c r="X87" s="108"/>
    </row>
    <row r="88" spans="2:24">
      <c r="B88" s="109"/>
      <c r="C88"/>
      <c r="D88"/>
      <c r="E88"/>
      <c r="F88"/>
      <c r="G88"/>
      <c r="H88"/>
      <c r="I88"/>
      <c r="J88"/>
      <c r="K88"/>
      <c r="L88" s="108"/>
      <c r="N88" s="109"/>
      <c r="O88"/>
      <c r="P88"/>
      <c r="Q88"/>
      <c r="R88"/>
      <c r="S88"/>
      <c r="T88"/>
      <c r="U88"/>
      <c r="V88"/>
      <c r="W88"/>
      <c r="X88" s="108"/>
    </row>
    <row r="89" spans="2:24" ht="15.75" thickBot="1">
      <c r="B89" s="107"/>
      <c r="C89"/>
      <c r="D89"/>
      <c r="E89"/>
      <c r="F89"/>
      <c r="G89"/>
      <c r="H89"/>
      <c r="I89"/>
      <c r="J89"/>
      <c r="K89"/>
      <c r="L89" s="108"/>
      <c r="N89" s="107"/>
      <c r="O89"/>
      <c r="P89"/>
      <c r="Q89"/>
      <c r="R89"/>
      <c r="S89"/>
      <c r="T89"/>
      <c r="U89"/>
      <c r="V89"/>
      <c r="W89"/>
      <c r="X89" s="108"/>
    </row>
    <row r="90" spans="2:24">
      <c r="B90" s="79"/>
      <c r="C90" s="118"/>
      <c r="D90" s="118"/>
      <c r="E90" s="118"/>
      <c r="F90" s="118"/>
      <c r="G90" s="118"/>
      <c r="H90" s="118"/>
      <c r="I90" s="118"/>
      <c r="J90" s="118"/>
      <c r="K90" s="118"/>
      <c r="L90" s="106"/>
      <c r="N90" s="79"/>
      <c r="O90" s="118"/>
      <c r="P90" s="118"/>
      <c r="Q90" s="118"/>
      <c r="R90" s="118"/>
      <c r="S90" s="118"/>
      <c r="T90" s="118"/>
      <c r="U90" s="118"/>
      <c r="V90" s="118"/>
      <c r="W90" s="118"/>
      <c r="X90" s="106"/>
    </row>
    <row r="91" spans="2:24">
      <c r="B91" s="68"/>
      <c r="C91" t="s">
        <v>264</v>
      </c>
      <c r="D91"/>
      <c r="E91"/>
      <c r="F91"/>
      <c r="G91"/>
      <c r="H91"/>
      <c r="I91"/>
      <c r="J91"/>
      <c r="K91"/>
      <c r="L91" s="108"/>
      <c r="N91" s="68"/>
      <c r="O91" t="s">
        <v>264</v>
      </c>
      <c r="P91"/>
      <c r="Q91"/>
      <c r="R91"/>
      <c r="S91"/>
      <c r="T91"/>
      <c r="U91"/>
      <c r="V91"/>
      <c r="W91"/>
      <c r="X91" s="108"/>
    </row>
    <row r="92" spans="2:24" ht="15.75" thickBot="1">
      <c r="B92" s="115"/>
      <c r="C92"/>
      <c r="D92"/>
      <c r="E92"/>
      <c r="F92"/>
      <c r="G92"/>
      <c r="H92"/>
      <c r="I92"/>
      <c r="J92"/>
      <c r="K92"/>
      <c r="L92" s="108"/>
      <c r="N92" s="115"/>
      <c r="O92"/>
      <c r="P92"/>
      <c r="Q92"/>
      <c r="R92"/>
      <c r="S92"/>
      <c r="T92"/>
      <c r="U92"/>
      <c r="V92"/>
      <c r="W92"/>
      <c r="X92" s="108"/>
    </row>
    <row r="93" spans="2:24">
      <c r="B93" s="115"/>
      <c r="C93" s="44" t="s">
        <v>265</v>
      </c>
      <c r="D93" s="44" t="s">
        <v>266</v>
      </c>
      <c r="E93" s="44" t="s">
        <v>267</v>
      </c>
      <c r="F93"/>
      <c r="G93"/>
      <c r="H93"/>
      <c r="I93"/>
      <c r="J93"/>
      <c r="K93"/>
      <c r="L93" s="108"/>
      <c r="N93" s="115"/>
      <c r="O93" s="44" t="s">
        <v>265</v>
      </c>
      <c r="P93" s="44" t="s">
        <v>266</v>
      </c>
      <c r="Q93" s="44" t="s">
        <v>267</v>
      </c>
      <c r="R93"/>
      <c r="S93"/>
      <c r="T93"/>
      <c r="U93"/>
      <c r="V93"/>
      <c r="W93"/>
      <c r="X93" s="108"/>
    </row>
    <row r="94" spans="2:24">
      <c r="B94" s="115"/>
      <c r="C94">
        <v>1</v>
      </c>
      <c r="D94">
        <v>3.2029146799723534</v>
      </c>
      <c r="E94">
        <v>-0.49486447887014329</v>
      </c>
      <c r="F94"/>
      <c r="G94"/>
      <c r="H94"/>
      <c r="I94"/>
      <c r="J94"/>
      <c r="K94"/>
      <c r="L94" s="108"/>
      <c r="N94" s="115"/>
      <c r="O94">
        <v>1</v>
      </c>
      <c r="P94">
        <v>151.69956382807675</v>
      </c>
      <c r="Q94">
        <v>3.300436171923252</v>
      </c>
      <c r="R94"/>
      <c r="S94"/>
      <c r="T94"/>
      <c r="U94"/>
      <c r="V94"/>
      <c r="W94"/>
      <c r="X94" s="108"/>
    </row>
    <row r="95" spans="2:24">
      <c r="B95" s="68"/>
      <c r="C95">
        <v>2</v>
      </c>
      <c r="D95">
        <v>3.4062684163870096</v>
      </c>
      <c r="E95">
        <v>-7.4063906211805808E-2</v>
      </c>
      <c r="F95"/>
      <c r="G95"/>
      <c r="H95"/>
      <c r="I95"/>
      <c r="J95"/>
      <c r="K95"/>
      <c r="L95" s="108"/>
      <c r="N95" s="68"/>
      <c r="O95">
        <v>2</v>
      </c>
      <c r="P95">
        <v>173.36749800080545</v>
      </c>
      <c r="Q95">
        <v>1.6325019991945453</v>
      </c>
      <c r="R95"/>
      <c r="S95"/>
      <c r="T95"/>
      <c r="U95"/>
      <c r="V95"/>
      <c r="W95"/>
      <c r="X95" s="108"/>
    </row>
    <row r="96" spans="2:24">
      <c r="B96" s="68"/>
      <c r="C96">
        <v>3</v>
      </c>
      <c r="D96">
        <v>3.6684369800225571</v>
      </c>
      <c r="E96">
        <v>0.13822550974776249</v>
      </c>
      <c r="F96"/>
      <c r="G96"/>
      <c r="H96"/>
      <c r="I96"/>
      <c r="J96"/>
      <c r="K96"/>
      <c r="L96" s="108"/>
      <c r="N96" s="68"/>
      <c r="O96">
        <v>3</v>
      </c>
      <c r="P96">
        <v>188.7411419566165</v>
      </c>
      <c r="Q96">
        <v>-8.7411419566165023</v>
      </c>
      <c r="R96"/>
      <c r="S96"/>
      <c r="T96"/>
      <c r="U96"/>
      <c r="V96"/>
      <c r="W96"/>
      <c r="X96" s="108"/>
    </row>
    <row r="97" spans="2:24">
      <c r="B97" s="116"/>
      <c r="C97">
        <v>4</v>
      </c>
      <c r="D97">
        <v>3.8717907164372134</v>
      </c>
      <c r="E97">
        <v>0.1886522941092057</v>
      </c>
      <c r="F97"/>
      <c r="G97"/>
      <c r="H97"/>
      <c r="I97"/>
      <c r="J97"/>
      <c r="K97"/>
      <c r="L97" s="108"/>
      <c r="N97" s="116"/>
      <c r="O97">
        <v>4</v>
      </c>
      <c r="P97">
        <v>210.40907612934521</v>
      </c>
      <c r="Q97">
        <v>-0.40907612934520898</v>
      </c>
      <c r="R97"/>
      <c r="S97"/>
      <c r="T97"/>
      <c r="U97"/>
      <c r="V97"/>
      <c r="W97"/>
      <c r="X97" s="108"/>
    </row>
    <row r="98" spans="2:24" ht="15.75" thickBot="1">
      <c r="B98" s="117"/>
      <c r="C98">
        <v>5</v>
      </c>
      <c r="D98">
        <v>4.0379428171124472</v>
      </c>
      <c r="E98">
        <v>0.16674980227851854</v>
      </c>
      <c r="F98"/>
      <c r="G98"/>
      <c r="H98"/>
      <c r="I98"/>
      <c r="J98"/>
      <c r="K98"/>
      <c r="L98" s="108"/>
      <c r="N98" s="117"/>
      <c r="O98" s="43">
        <v>5</v>
      </c>
      <c r="P98" s="43">
        <v>225.78272008515626</v>
      </c>
      <c r="Q98" s="43">
        <v>4.2172799148437434</v>
      </c>
      <c r="R98"/>
      <c r="S98"/>
      <c r="T98"/>
      <c r="U98"/>
      <c r="V98"/>
      <c r="W98"/>
      <c r="X98" s="108"/>
    </row>
    <row r="99" spans="2:24" ht="15.75" thickBot="1">
      <c r="B99" s="117"/>
      <c r="C99">
        <v>6</v>
      </c>
      <c r="D99">
        <v>4.3001113807479943</v>
      </c>
      <c r="E99">
        <v>0.19969828958227076</v>
      </c>
      <c r="F99"/>
      <c r="G99"/>
      <c r="H99"/>
      <c r="I99"/>
      <c r="J99"/>
      <c r="K99"/>
      <c r="L99" s="108"/>
      <c r="N99" s="113"/>
      <c r="O99" s="43"/>
      <c r="P99" s="43"/>
      <c r="Q99" s="43"/>
      <c r="R99" s="43"/>
      <c r="S99" s="43"/>
      <c r="T99" s="43"/>
      <c r="U99" s="43"/>
      <c r="V99" s="43"/>
      <c r="W99" s="43"/>
      <c r="X99" s="112"/>
    </row>
    <row r="100" spans="2:24">
      <c r="B100" s="68"/>
      <c r="C100">
        <v>7</v>
      </c>
      <c r="D100">
        <v>4.5034651171626505</v>
      </c>
      <c r="E100">
        <v>0.15049523299487255</v>
      </c>
      <c r="F100"/>
      <c r="G100"/>
      <c r="H100"/>
      <c r="I100"/>
      <c r="J100"/>
      <c r="K100"/>
      <c r="L100" s="108"/>
    </row>
    <row r="101" spans="2:24">
      <c r="B101" s="68"/>
      <c r="C101">
        <v>8</v>
      </c>
      <c r="D101">
        <v>4.6696172178378843</v>
      </c>
      <c r="E101">
        <v>0.11787452494416151</v>
      </c>
      <c r="F101"/>
      <c r="G101"/>
      <c r="H101"/>
      <c r="I101"/>
      <c r="J101"/>
      <c r="K101"/>
      <c r="L101" s="108"/>
    </row>
    <row r="102" spans="2:24">
      <c r="B102" s="68"/>
      <c r="C102">
        <v>9</v>
      </c>
      <c r="D102">
        <v>4.8100968173114635</v>
      </c>
      <c r="E102">
        <v>5.7437633144118649E-2</v>
      </c>
      <c r="F102"/>
      <c r="G102"/>
      <c r="H102"/>
      <c r="I102"/>
      <c r="J102"/>
      <c r="K102"/>
      <c r="L102" s="108"/>
    </row>
    <row r="103" spans="2:24">
      <c r="B103" s="68"/>
      <c r="C103">
        <v>10</v>
      </c>
      <c r="D103">
        <v>4.9317857814734314</v>
      </c>
      <c r="E103">
        <v>9.8566411358724793E-3</v>
      </c>
      <c r="F103"/>
      <c r="G103"/>
      <c r="H103"/>
      <c r="I103"/>
      <c r="J103"/>
      <c r="K103"/>
      <c r="L103" s="108"/>
    </row>
    <row r="104" spans="2:24">
      <c r="B104" s="68"/>
      <c r="C104">
        <v>11</v>
      </c>
      <c r="D104">
        <v>5.0391230549277743</v>
      </c>
      <c r="E104">
        <v>-2.8487760831518827E-2</v>
      </c>
      <c r="F104"/>
      <c r="G104"/>
      <c r="H104"/>
      <c r="I104"/>
      <c r="J104"/>
      <c r="K104"/>
      <c r="L104" s="108"/>
    </row>
    <row r="105" spans="2:24">
      <c r="B105" s="68"/>
      <c r="C105">
        <v>12</v>
      </c>
      <c r="D105">
        <v>5.1351395178880885</v>
      </c>
      <c r="E105">
        <v>-9.1714400968841758E-2</v>
      </c>
      <c r="F105"/>
      <c r="G105"/>
      <c r="H105"/>
      <c r="I105"/>
      <c r="J105"/>
      <c r="K105"/>
      <c r="L105" s="108"/>
    </row>
    <row r="106" spans="2:24">
      <c r="B106" s="68"/>
      <c r="C106">
        <v>13</v>
      </c>
      <c r="D106">
        <v>5.5046453549779777</v>
      </c>
      <c r="E106">
        <v>-0.33985938105446323</v>
      </c>
      <c r="F106"/>
      <c r="G106"/>
      <c r="H106"/>
      <c r="I106"/>
      <c r="J106"/>
      <c r="K106"/>
      <c r="L106" s="108"/>
    </row>
    <row r="107" spans="2:24">
      <c r="B107" s="68"/>
      <c r="C107">
        <v>14</v>
      </c>
      <c r="D107">
        <v>5.6357539038302491</v>
      </c>
      <c r="E107">
        <v>-0.33743653728221279</v>
      </c>
      <c r="F107"/>
      <c r="G107"/>
      <c r="H107"/>
      <c r="I107"/>
      <c r="J107"/>
      <c r="K107"/>
      <c r="L107" s="108"/>
    </row>
    <row r="108" spans="2:24">
      <c r="B108" s="68"/>
      <c r="C108">
        <v>15</v>
      </c>
      <c r="D108">
        <v>13.632530602917683</v>
      </c>
      <c r="E108">
        <v>-1.267978845977261</v>
      </c>
      <c r="F108"/>
      <c r="G108"/>
      <c r="H108"/>
      <c r="I108"/>
      <c r="J108"/>
      <c r="K108"/>
      <c r="L108" s="108"/>
    </row>
    <row r="109" spans="2:24" ht="15.75" thickBot="1">
      <c r="B109" s="113"/>
      <c r="C109" s="114"/>
      <c r="D109" s="114"/>
      <c r="E109" s="114"/>
      <c r="F109" s="114"/>
      <c r="G109" s="114"/>
      <c r="H109" s="114"/>
      <c r="I109" s="114"/>
      <c r="J109" s="114"/>
      <c r="K109" s="114"/>
      <c r="L109" s="112"/>
    </row>
  </sheetData>
  <pageMargins left="0.7" right="0.7" top="0.75" bottom="0.75" header="0.3" footer="0.3"/>
  <pageSetup orientation="portrait" r:id="rId1"/>
  <drawing r:id="rId2"/>
  <extLst>
    <ext xmlns:x15="http://schemas.microsoft.com/office/spreadsheetml/2010/11/main" uri="{F7C9EE02-42E1-4005-9D12-6889AFFD525C}">
      <x15:webExtensions xmlns:xm="http://schemas.microsoft.com/office/excel/2006/main">
        <x15:webExtension appRef="{9E21E0C5-F2C0-4CCF-B6F1-6748D01215BD}">
          <xm:f>#REF!</xm:f>
        </x15:webExtension>
        <x15:webExtension appRef="{503F7F1D-CE5A-4343-A660-42110556446F}">
          <xm:f>'Hp Est Tool'!$D$55:$D$70</xm:f>
        </x15:webExtension>
        <x15:webExtension appRef="{C44F9489-07D5-446C-BE87-C54205B2402B}">
          <xm:f>'Hp Est Tool'!$C$55:$C$70</xm:f>
        </x15:webExtension>
        <x15:webExtension appRef="{43537940-01CC-4E7E-A980-99F4BA06ABFE}">
          <xm:f>'Hp Est Tool'!1:1048576</xm:f>
        </x15:webExtension>
        <x15:webExtension appRef="{DACBD016-C32B-4672-976B-AFD28744FB3E}">
          <xm:f>'Hp Est Tool'!#REF!</xm:f>
        </x15:webExtension>
      </x15:webExtens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vt:i4>
      </vt:variant>
    </vt:vector>
  </HeadingPairs>
  <TitlesOfParts>
    <vt:vector size="24" baseType="lpstr">
      <vt:lpstr>Instructions</vt:lpstr>
      <vt:lpstr>Drawing</vt:lpstr>
      <vt:lpstr>Compositions</vt:lpstr>
      <vt:lpstr>Chart A - Weather</vt:lpstr>
      <vt:lpstr>PD 1to2</vt:lpstr>
      <vt:lpstr>PD 6to7</vt:lpstr>
      <vt:lpstr>Flash A</vt:lpstr>
      <vt:lpstr>Flash B</vt:lpstr>
      <vt:lpstr>Hp Est Tool</vt:lpstr>
      <vt:lpstr>HDP 1 2</vt:lpstr>
      <vt:lpstr>HDP 6 7 8</vt:lpstr>
      <vt:lpstr>Prop Est Flash 1</vt:lpstr>
      <vt:lpstr>Prop Est 2</vt:lpstr>
      <vt:lpstr>Prop Est Flash 2</vt:lpstr>
      <vt:lpstr>water content 1</vt:lpstr>
      <vt:lpstr>water content 2</vt:lpstr>
      <vt:lpstr>water content 6</vt:lpstr>
      <vt:lpstr>water content 7</vt:lpstr>
      <vt:lpstr>Dropout Chart</vt:lpstr>
      <vt:lpstr>'Flash A'!mL</vt:lpstr>
      <vt:lpstr>'Flash B'!mL</vt:lpstr>
      <vt:lpstr>Compositions!Print_Area</vt:lpstr>
      <vt:lpstr>Drawing!Print_Area</vt:lpstr>
      <vt:lpstr>'Dropout Chart'!Print_Area</vt:lpstr>
    </vt:vector>
  </TitlesOfParts>
  <Company>For Internal Use Only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Wayne</dc:creator>
  <cp:lastModifiedBy>gloria landon</cp:lastModifiedBy>
  <cp:lastPrinted>2014-07-21T14:52:54Z</cp:lastPrinted>
  <dcterms:created xsi:type="dcterms:W3CDTF">2013-07-31T12:54:20Z</dcterms:created>
  <dcterms:modified xsi:type="dcterms:W3CDTF">2025-10-06T17:37:51Z</dcterms:modified>
</cp:coreProperties>
</file>